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tables/table1.xml" ContentType="application/vnd.openxmlformats-officedocument.spreadsheetml.table+xml"/>
  <Override PartName="/xl/printerSettings/printerSettings1.bin" ContentType="application/vnd.openxmlformats-officedocument.spreadsheetml.printerSettings"/>
  <Override PartName="/xl/drawings/drawing1.xml" ContentType="application/vnd.openxmlformats-officedocument.drawing+xml"/>
  <Override PartName="/xl/printerSettings/printerSettings2.bin" ContentType="application/vnd.openxmlformats-officedocument.spreadsheetml.printerSettings"/>
  <Override PartName="/xl/drawings/drawing2.xml" ContentType="application/vnd.openxmlformats-officedocument.drawing+xml"/>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O:\VA\PFR\9_IPV CH\02_Revision VPVK_GGV\Berechnungen März 2025\"/>
    </mc:Choice>
  </mc:AlternateContent>
  <xr:revisionPtr revIDLastSave="0" documentId="13_ncr:1_{573DEBD9-2595-43E6-97C2-1E7A1C90B4A0}" xr6:coauthVersionLast="47" xr6:coauthVersionMax="47" xr10:uidLastSave="{00000000-0000-0000-0000-000000000000}"/>
  <bookViews>
    <workbookView xWindow="-120" yWindow="-120" windowWidth="29040" windowHeight="15720" tabRatio="734" firstSheet="1" activeTab="1" xr2:uid="{7435BE35-3AB8-42DD-995E-9FE7282F2200}"/>
  </bookViews>
  <sheets>
    <sheet name="Übersetzung" sheetId="9" state="hidden" r:id="rId1"/>
    <sheet name="Einleitung" sheetId="10" r:id="rId2"/>
    <sheet name="Aufteilung Bundesbeitrag " sheetId="6" r:id="rId3"/>
    <sheet name="Raten Bundesbeitrag" sheetId="7" r:id="rId4"/>
    <sheet name="Berechnung" sheetId="12" r:id="rId5"/>
    <sheet name="Mindestbeiträge" sheetId="2" r:id="rId6"/>
    <sheet name="Grundlagen für die Berechnung" sheetId="11" r:id="rId7"/>
    <sheet name="Statistikdaten" sheetId="3" r:id="rId8"/>
    <sheet name="Einkommensdaten" sheetId="4" r:id="rId9"/>
    <sheet name="Bundesbeitrag 2026 (def.)" sheetId="8" state="hidden" r:id="rId10"/>
  </sheets>
  <definedNames>
    <definedName name="actReg">#REF!</definedName>
    <definedName name="actRegValue">#REF!</definedName>
    <definedName name="clsValues">#REF!</definedName>
    <definedName name="Cube">#REF!</definedName>
    <definedName name="_xlnm.Print_Area" localSheetId="2">'Aufteilung Bundesbeitrag '!$A$1:$K$36</definedName>
    <definedName name="_xlnm.Print_Area" localSheetId="3">'Raten Bundesbeitrag'!$A$1:$F$35</definedName>
    <definedName name="ESTV_j">#REF!</definedName>
    <definedName name="Fcit">#REF!</definedName>
    <definedName name="Jahr">#REF!</definedName>
    <definedName name="Max_BK">#REF!</definedName>
    <definedName name="Max_Wendepunkt">#REF!</definedName>
    <definedName name="MaxCant">#REF!</definedName>
    <definedName name="Min_BK">#REF!</definedName>
    <definedName name="Min_Wendepunkte">#REF!</definedName>
    <definedName name="MulConf">#REF!</definedName>
    <definedName name="regData">#REF!</definedName>
    <definedName name="Versicher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 i="3" l="1"/>
  <c r="G1" i="3" l="1"/>
  <c r="D94" i="9"/>
  <c r="C94" i="9"/>
  <c r="D89" i="9" l="1"/>
  <c r="C89" i="9"/>
  <c r="D80" i="9"/>
  <c r="C80" i="9"/>
  <c r="T4" i="2" l="1"/>
  <c r="H6" i="3" l="1"/>
  <c r="H7" i="3"/>
  <c r="H8" i="3"/>
  <c r="H9" i="3"/>
  <c r="H10" i="3"/>
  <c r="H11" i="3"/>
  <c r="H12" i="3"/>
  <c r="H13" i="3"/>
  <c r="H14" i="3"/>
  <c r="H15" i="3"/>
  <c r="H16" i="3"/>
  <c r="H17" i="3"/>
  <c r="H18" i="3"/>
  <c r="H19" i="3"/>
  <c r="H20" i="3"/>
  <c r="H21" i="3"/>
  <c r="H22" i="3"/>
  <c r="H23" i="3"/>
  <c r="H24" i="3"/>
  <c r="H25" i="3"/>
  <c r="H26" i="3"/>
  <c r="H27" i="3"/>
  <c r="H28" i="3"/>
  <c r="H29" i="3"/>
  <c r="H30" i="3"/>
  <c r="H31" i="3"/>
  <c r="H32" i="3"/>
  <c r="B19" i="2"/>
  <c r="D8" i="9" l="1"/>
  <c r="C24" i="10" l="1"/>
  <c r="C23" i="10"/>
  <c r="C20" i="10"/>
  <c r="C18" i="10"/>
  <c r="C15" i="10"/>
  <c r="C8" i="9"/>
  <c r="C21" i="10"/>
  <c r="J5" i="10"/>
  <c r="B10" i="9" l="1"/>
  <c r="B12" i="10" s="1"/>
  <c r="B40" i="9"/>
  <c r="H2" i="3" s="1"/>
  <c r="K2" i="3" s="1"/>
  <c r="B48" i="9"/>
  <c r="B56" i="9"/>
  <c r="B41" i="9"/>
  <c r="B49" i="9"/>
  <c r="B42" i="9"/>
  <c r="G2" i="3" s="1"/>
  <c r="B43" i="9"/>
  <c r="B51" i="9"/>
  <c r="B36" i="9"/>
  <c r="D2" i="3" s="1"/>
  <c r="B44" i="9"/>
  <c r="B52" i="9"/>
  <c r="B45" i="9"/>
  <c r="B53" i="9"/>
  <c r="B46" i="9"/>
  <c r="B54" i="9"/>
  <c r="B39" i="9"/>
  <c r="B47" i="9"/>
  <c r="B55" i="9"/>
  <c r="B50" i="9"/>
  <c r="B37" i="9"/>
  <c r="E2" i="3" s="1"/>
  <c r="B38" i="9"/>
  <c r="I2" i="3" s="1"/>
  <c r="B8" i="9"/>
  <c r="B24" i="10" s="1"/>
  <c r="B3" i="9"/>
  <c r="B3" i="10" s="1"/>
  <c r="B7" i="9"/>
  <c r="B21" i="10" s="1"/>
  <c r="B2" i="9"/>
  <c r="B2" i="10" s="1"/>
  <c r="B4" i="9"/>
  <c r="B7" i="10" s="1"/>
  <c r="B5" i="9"/>
  <c r="B15" i="10" s="1"/>
  <c r="B6" i="9"/>
  <c r="B18" i="10" s="1"/>
  <c r="B9" i="9"/>
  <c r="B9" i="10" s="1"/>
  <c r="C15" i="2"/>
  <c r="E94" i="9" l="1"/>
  <c r="E93" i="9"/>
  <c r="D93" i="9"/>
  <c r="C93" i="9"/>
  <c r="D92" i="9"/>
  <c r="C92" i="9"/>
  <c r="E92" i="9"/>
  <c r="E91" i="9"/>
  <c r="D91" i="9"/>
  <c r="C91" i="9"/>
  <c r="E89" i="9"/>
  <c r="E80" i="9"/>
  <c r="B5" i="8" l="1"/>
  <c r="B7" i="8" s="1"/>
  <c r="B1" i="4"/>
  <c r="E1" i="4" s="1"/>
  <c r="K1" i="3"/>
  <c r="O1" i="3" s="1"/>
  <c r="C1" i="3"/>
  <c r="B1" i="3"/>
  <c r="B29" i="2"/>
  <c r="B28" i="2"/>
  <c r="B26" i="2"/>
  <c r="B25" i="2"/>
  <c r="B24" i="2"/>
  <c r="B5" i="2"/>
  <c r="B20" i="2" s="1"/>
  <c r="B4" i="2"/>
  <c r="B15" i="2" s="1"/>
  <c r="L1" i="3" l="1"/>
  <c r="I1" i="3"/>
  <c r="H1" i="3"/>
  <c r="B8" i="2"/>
  <c r="B12" i="2"/>
  <c r="M1" i="3"/>
  <c r="N1" i="3"/>
  <c r="B22" i="2"/>
  <c r="B13" i="2"/>
  <c r="B18" i="2"/>
  <c r="D1" i="3"/>
  <c r="C1" i="4"/>
  <c r="E1" i="3"/>
  <c r="D1" i="4"/>
  <c r="B9" i="2"/>
  <c r="F1" i="3"/>
  <c r="B16" i="2"/>
  <c r="B6" i="8"/>
  <c r="B9" i="8"/>
  <c r="B12" i="9" l="1"/>
  <c r="B92" i="9" l="1"/>
  <c r="C7" i="7" s="1"/>
  <c r="B91" i="9"/>
  <c r="B7" i="7" s="1"/>
  <c r="B89" i="9"/>
  <c r="A5" i="7" s="1"/>
  <c r="B94" i="9"/>
  <c r="E7" i="7" s="1"/>
  <c r="B90" i="9"/>
  <c r="A7" i="7" s="1"/>
  <c r="F7" i="7" s="1"/>
  <c r="B93" i="9"/>
  <c r="D7" i="7" s="1"/>
  <c r="B79" i="9"/>
  <c r="G3" i="6" s="1"/>
  <c r="E3" i="7" s="1"/>
  <c r="A26" i="6"/>
  <c r="A14" i="6"/>
  <c r="A13" i="6"/>
  <c r="A17" i="6"/>
  <c r="B81" i="9"/>
  <c r="B7" i="6" s="1"/>
  <c r="B78" i="9"/>
  <c r="G2" i="6" s="1"/>
  <c r="E2" i="7" s="1"/>
  <c r="A25" i="6"/>
  <c r="B77" i="9"/>
  <c r="G1" i="6" s="1"/>
  <c r="E1" i="7" s="1"/>
  <c r="A24" i="6"/>
  <c r="A12" i="6"/>
  <c r="A9" i="6"/>
  <c r="A20" i="6"/>
  <c r="A2" i="2"/>
  <c r="A36" i="6"/>
  <c r="A23" i="6"/>
  <c r="A11" i="6"/>
  <c r="B84" i="9"/>
  <c r="E7" i="6" s="1"/>
  <c r="B82" i="9"/>
  <c r="C7" i="6" s="1"/>
  <c r="A28" i="6"/>
  <c r="B87" i="9"/>
  <c r="A7" i="6" s="1"/>
  <c r="J7" i="6" s="1"/>
  <c r="A34" i="6"/>
  <c r="A22" i="6"/>
  <c r="A10" i="6"/>
  <c r="A21" i="6"/>
  <c r="B85" i="9"/>
  <c r="F7" i="6" s="1"/>
  <c r="G7" i="6" s="1"/>
  <c r="A27" i="6"/>
  <c r="B86" i="9"/>
  <c r="H7" i="6" s="1"/>
  <c r="I7" i="6" s="1"/>
  <c r="A33" i="6"/>
  <c r="A32" i="6"/>
  <c r="A31" i="6"/>
  <c r="A19" i="6"/>
  <c r="A30" i="6"/>
  <c r="A18" i="6"/>
  <c r="A29" i="6"/>
  <c r="A16" i="6"/>
  <c r="B80" i="9"/>
  <c r="A5" i="6" s="1"/>
  <c r="B83" i="9"/>
  <c r="D7" i="6" s="1"/>
  <c r="A15" i="6"/>
  <c r="B65" i="9"/>
  <c r="B3" i="8" s="1"/>
  <c r="B64" i="9"/>
  <c r="A3" i="8" s="1"/>
  <c r="B75" i="9"/>
  <c r="D9" i="8" s="1"/>
  <c r="B74" i="9"/>
  <c r="D7" i="8" s="1"/>
  <c r="B73" i="9"/>
  <c r="D6" i="8" s="1"/>
  <c r="B71" i="9"/>
  <c r="A9" i="8" s="1"/>
  <c r="B69" i="9"/>
  <c r="A6" i="8" s="1"/>
  <c r="B67" i="9"/>
  <c r="D3" i="8" s="1"/>
  <c r="B66" i="9"/>
  <c r="C3" i="8" s="1"/>
  <c r="B72" i="9"/>
  <c r="D5" i="8" s="1"/>
  <c r="B68" i="9"/>
  <c r="A5" i="8" s="1"/>
  <c r="B70" i="9"/>
  <c r="A7" i="8" s="1"/>
  <c r="B62" i="9"/>
  <c r="E2" i="4" s="1"/>
  <c r="B61" i="9"/>
  <c r="D2" i="4" s="1"/>
  <c r="B60" i="9"/>
  <c r="C2" i="4" s="1"/>
  <c r="B59" i="9"/>
  <c r="B2" i="4" s="1"/>
  <c r="B58" i="9"/>
  <c r="A2" i="4" s="1"/>
  <c r="B1" i="9"/>
  <c r="B32" i="9"/>
  <c r="A29" i="2" s="1"/>
  <c r="H3" i="3"/>
  <c r="H4" i="3"/>
  <c r="I4" i="3" s="1"/>
  <c r="K4" i="3" s="1"/>
  <c r="F4" i="3"/>
  <c r="I3" i="3"/>
  <c r="F3" i="3"/>
  <c r="G3" i="3" s="1"/>
  <c r="L3" i="3"/>
  <c r="E3" i="3"/>
  <c r="D3" i="3"/>
  <c r="K3" i="3"/>
  <c r="O3" i="3"/>
  <c r="M3" i="3"/>
  <c r="N3" i="3"/>
  <c r="B34" i="9"/>
  <c r="A4" i="3" s="1"/>
  <c r="B35" i="9"/>
  <c r="B21" i="9"/>
  <c r="A15" i="2" s="1"/>
  <c r="B22" i="9"/>
  <c r="A16" i="2" s="1"/>
  <c r="B23" i="9"/>
  <c r="A18" i="2" s="1"/>
  <c r="B25" i="9"/>
  <c r="B26" i="9"/>
  <c r="A20" i="2" s="1"/>
  <c r="B27" i="9"/>
  <c r="A22" i="2" s="1"/>
  <c r="B24" i="9"/>
  <c r="A19" i="2" s="1"/>
  <c r="B14" i="9"/>
  <c r="A5" i="2" s="1"/>
  <c r="B15" i="9"/>
  <c r="A6" i="2" s="1"/>
  <c r="B16" i="9"/>
  <c r="A8" i="2" s="1"/>
  <c r="B17" i="9"/>
  <c r="A9" i="2" s="1"/>
  <c r="B28" i="9"/>
  <c r="A24" i="2" s="1"/>
  <c r="B18" i="9"/>
  <c r="A10" i="2" s="1"/>
  <c r="B29" i="9"/>
  <c r="A25" i="2" s="1"/>
  <c r="B19" i="9"/>
  <c r="A12" i="2" s="1"/>
  <c r="B30" i="9"/>
  <c r="A26" i="2" s="1"/>
  <c r="B20" i="9"/>
  <c r="A13" i="2" s="1"/>
  <c r="B31" i="9"/>
  <c r="A28" i="2" s="1"/>
  <c r="B13" i="9"/>
  <c r="A4" i="2" s="1"/>
  <c r="E8" i="6"/>
  <c r="B3" i="3" l="1"/>
  <c r="C3" i="3"/>
  <c r="F2" i="3"/>
  <c r="B2" i="3"/>
  <c r="C2" i="3"/>
  <c r="L2" i="3"/>
  <c r="M2" i="3" s="1"/>
  <c r="N2" i="3" s="1"/>
  <c r="O2" i="3" s="1"/>
  <c r="G4" i="3"/>
  <c r="J4" i="3"/>
  <c r="P4" i="3" s="1"/>
  <c r="A21" i="7"/>
  <c r="G36" i="6"/>
  <c r="F8" i="6"/>
  <c r="G8" i="6" s="1"/>
  <c r="D9" i="6"/>
  <c r="C36" i="6"/>
  <c r="B36" i="6"/>
  <c r="D34" i="6"/>
  <c r="A33" i="7"/>
  <c r="D33" i="6"/>
  <c r="A32" i="7"/>
  <c r="D32" i="6"/>
  <c r="A31" i="7"/>
  <c r="D31" i="6"/>
  <c r="A30" i="7"/>
  <c r="D30" i="6"/>
  <c r="A29" i="7"/>
  <c r="D29" i="6"/>
  <c r="A28" i="7"/>
  <c r="D28" i="6"/>
  <c r="A27" i="7"/>
  <c r="D27" i="6"/>
  <c r="A26" i="7"/>
  <c r="D26" i="6"/>
  <c r="A25" i="7"/>
  <c r="D25" i="6"/>
  <c r="A24" i="7"/>
  <c r="D24" i="6"/>
  <c r="A23" i="7"/>
  <c r="D23" i="6"/>
  <c r="A22" i="7"/>
  <c r="D22" i="6"/>
  <c r="D21" i="6"/>
  <c r="A20" i="7"/>
  <c r="D20" i="6"/>
  <c r="A19" i="7"/>
  <c r="D19" i="6"/>
  <c r="A18" i="7"/>
  <c r="D18" i="6"/>
  <c r="A17" i="7"/>
  <c r="D17" i="6"/>
  <c r="A16" i="7"/>
  <c r="D16" i="6"/>
  <c r="A15" i="7"/>
  <c r="D15" i="6"/>
  <c r="A14" i="7"/>
  <c r="D14" i="6"/>
  <c r="A13" i="7"/>
  <c r="D13" i="6"/>
  <c r="A12" i="7"/>
  <c r="D12" i="6"/>
  <c r="A11" i="7"/>
  <c r="D11" i="6"/>
  <c r="A10" i="7"/>
  <c r="D10" i="6"/>
  <c r="A9" i="7"/>
  <c r="A8" i="7"/>
  <c r="D36" i="6" l="1"/>
  <c r="D15" i="2" l="1"/>
  <c r="E15" i="2"/>
  <c r="F15" i="2"/>
  <c r="G15" i="2"/>
  <c r="H15" i="2"/>
  <c r="I15" i="2"/>
  <c r="J15" i="2"/>
  <c r="K15" i="2"/>
  <c r="L15" i="2"/>
  <c r="M15" i="2"/>
  <c r="N15" i="2"/>
  <c r="O15" i="2"/>
  <c r="P15" i="2"/>
  <c r="Q15" i="2"/>
  <c r="R15" i="2"/>
  <c r="S15" i="2"/>
  <c r="T15" i="2"/>
  <c r="U15" i="2"/>
  <c r="V15" i="2"/>
  <c r="W15" i="2"/>
  <c r="X15" i="2"/>
  <c r="Y15" i="2"/>
  <c r="Z15" i="2"/>
  <c r="AA15" i="2"/>
  <c r="AB15" i="2"/>
  <c r="D12" i="2"/>
  <c r="E12" i="2"/>
  <c r="F12" i="2"/>
  <c r="G12" i="2"/>
  <c r="H12" i="2"/>
  <c r="I12" i="2"/>
  <c r="J12" i="2"/>
  <c r="K12" i="2"/>
  <c r="L12" i="2"/>
  <c r="M12" i="2"/>
  <c r="N12" i="2"/>
  <c r="O12" i="2"/>
  <c r="P12" i="2"/>
  <c r="Q12" i="2"/>
  <c r="R12" i="2"/>
  <c r="S12" i="2"/>
  <c r="T12" i="2"/>
  <c r="U12" i="2"/>
  <c r="V12" i="2"/>
  <c r="W12" i="2"/>
  <c r="X12" i="2"/>
  <c r="Y12" i="2"/>
  <c r="Z12" i="2"/>
  <c r="AA12" i="2"/>
  <c r="AB12" i="2"/>
  <c r="C12" i="2"/>
  <c r="D8" i="2"/>
  <c r="E8" i="2"/>
  <c r="F8" i="2"/>
  <c r="G8" i="2"/>
  <c r="H8" i="2"/>
  <c r="I8" i="2"/>
  <c r="J8" i="2"/>
  <c r="K8" i="2"/>
  <c r="L8" i="2"/>
  <c r="M8" i="2"/>
  <c r="N8" i="2"/>
  <c r="O8" i="2"/>
  <c r="P8" i="2"/>
  <c r="Q8" i="2"/>
  <c r="R8" i="2"/>
  <c r="S8" i="2"/>
  <c r="T8" i="2"/>
  <c r="U8" i="2"/>
  <c r="V8" i="2"/>
  <c r="W8" i="2"/>
  <c r="X8" i="2"/>
  <c r="Y8" i="2"/>
  <c r="Z8" i="2"/>
  <c r="AA8" i="2"/>
  <c r="AB8" i="2"/>
  <c r="C8" i="2"/>
  <c r="C4" i="2"/>
  <c r="D4" i="2"/>
  <c r="E4" i="2"/>
  <c r="F4" i="2"/>
  <c r="G4" i="2"/>
  <c r="H4" i="2"/>
  <c r="I4" i="2"/>
  <c r="J4" i="2"/>
  <c r="K4" i="2"/>
  <c r="L4" i="2"/>
  <c r="M4" i="2"/>
  <c r="N4" i="2"/>
  <c r="O4" i="2"/>
  <c r="P4" i="2"/>
  <c r="Q4" i="2"/>
  <c r="R4" i="2"/>
  <c r="S4" i="2"/>
  <c r="U4" i="2"/>
  <c r="V4" i="2"/>
  <c r="W4" i="2"/>
  <c r="X4" i="2"/>
  <c r="Y4" i="2"/>
  <c r="Z4" i="2"/>
  <c r="AA4" i="2"/>
  <c r="AB4" i="2"/>
  <c r="D29" i="4"/>
  <c r="E29" i="4"/>
  <c r="C29" i="4"/>
  <c r="B29" i="4"/>
  <c r="AC12" i="2" l="1"/>
  <c r="AC15" i="2"/>
  <c r="AC4" i="2"/>
  <c r="AC8" i="2"/>
  <c r="D18" i="2" l="1"/>
  <c r="E18" i="2"/>
  <c r="F18" i="2"/>
  <c r="G18" i="2"/>
  <c r="H18" i="2"/>
  <c r="I18" i="2"/>
  <c r="J18" i="2"/>
  <c r="K18" i="2"/>
  <c r="L18" i="2"/>
  <c r="M18" i="2"/>
  <c r="N18" i="2"/>
  <c r="O18" i="2"/>
  <c r="P18" i="2"/>
  <c r="Q18" i="2"/>
  <c r="R18" i="2"/>
  <c r="S18" i="2"/>
  <c r="T18" i="2"/>
  <c r="U18" i="2"/>
  <c r="V18" i="2"/>
  <c r="W18" i="2"/>
  <c r="X18" i="2"/>
  <c r="Y18" i="2"/>
  <c r="Z18" i="2"/>
  <c r="AA18" i="2"/>
  <c r="AB18" i="2"/>
  <c r="D19" i="2"/>
  <c r="D20" i="2" s="1"/>
  <c r="E19" i="2"/>
  <c r="E20" i="2" s="1"/>
  <c r="F19" i="2"/>
  <c r="F20" i="2" s="1"/>
  <c r="G19" i="2"/>
  <c r="G20" i="2" s="1"/>
  <c r="H19" i="2"/>
  <c r="H20" i="2" s="1"/>
  <c r="I19" i="2"/>
  <c r="I20" i="2" s="1"/>
  <c r="J19" i="2"/>
  <c r="J20" i="2" s="1"/>
  <c r="K19" i="2"/>
  <c r="K20" i="2" s="1"/>
  <c r="L19" i="2"/>
  <c r="L20" i="2" s="1"/>
  <c r="M19" i="2"/>
  <c r="M20" i="2" s="1"/>
  <c r="N19" i="2"/>
  <c r="N20" i="2" s="1"/>
  <c r="O19" i="2"/>
  <c r="O20" i="2" s="1"/>
  <c r="P19" i="2"/>
  <c r="P20" i="2" s="1"/>
  <c r="Q19" i="2"/>
  <c r="Q20" i="2" s="1"/>
  <c r="R19" i="2"/>
  <c r="R20" i="2" s="1"/>
  <c r="S19" i="2"/>
  <c r="S20" i="2" s="1"/>
  <c r="T19" i="2"/>
  <c r="T20" i="2" s="1"/>
  <c r="U19" i="2"/>
  <c r="U20" i="2" s="1"/>
  <c r="V19" i="2"/>
  <c r="V20" i="2" s="1"/>
  <c r="W19" i="2"/>
  <c r="W20" i="2" s="1"/>
  <c r="X19" i="2"/>
  <c r="X20" i="2" s="1"/>
  <c r="Y19" i="2"/>
  <c r="Y20" i="2" s="1"/>
  <c r="Z19" i="2"/>
  <c r="Z20" i="2" s="1"/>
  <c r="AA19" i="2"/>
  <c r="AA20" i="2" s="1"/>
  <c r="AB19" i="2"/>
  <c r="AB20" i="2" s="1"/>
  <c r="C19" i="2"/>
  <c r="C18" i="2"/>
  <c r="D5" i="2"/>
  <c r="E5" i="2"/>
  <c r="F5" i="2"/>
  <c r="G5" i="2"/>
  <c r="H5" i="2"/>
  <c r="I5" i="2"/>
  <c r="J5" i="2"/>
  <c r="K5" i="2"/>
  <c r="L5" i="2"/>
  <c r="M5" i="2"/>
  <c r="N5" i="2"/>
  <c r="O5" i="2"/>
  <c r="P5" i="2"/>
  <c r="Q5" i="2"/>
  <c r="R5" i="2"/>
  <c r="S5" i="2"/>
  <c r="T5" i="2"/>
  <c r="U5" i="2"/>
  <c r="V5" i="2"/>
  <c r="W5" i="2"/>
  <c r="X5" i="2"/>
  <c r="Y5" i="2"/>
  <c r="Z5" i="2"/>
  <c r="AA5" i="2"/>
  <c r="AB5" i="2"/>
  <c r="C5" i="2"/>
  <c r="C20" i="2" l="1"/>
  <c r="AC18" i="2"/>
  <c r="AC19" i="2"/>
  <c r="AC20" i="2" s="1"/>
  <c r="AC5" i="2"/>
  <c r="D6" i="2"/>
  <c r="D13" i="2" s="1"/>
  <c r="E6" i="2"/>
  <c r="E13" i="2" s="1"/>
  <c r="F6" i="2"/>
  <c r="F13" i="2" s="1"/>
  <c r="G6" i="2"/>
  <c r="G13" i="2" s="1"/>
  <c r="H6" i="2"/>
  <c r="H13" i="2" s="1"/>
  <c r="I6" i="2"/>
  <c r="I13" i="2" s="1"/>
  <c r="J6" i="2"/>
  <c r="J13" i="2" s="1"/>
  <c r="K6" i="2"/>
  <c r="K13" i="2" s="1"/>
  <c r="L6" i="2"/>
  <c r="L13" i="2" s="1"/>
  <c r="M6" i="2"/>
  <c r="M13" i="2" s="1"/>
  <c r="N6" i="2"/>
  <c r="N13" i="2" s="1"/>
  <c r="O6" i="2"/>
  <c r="O13" i="2" s="1"/>
  <c r="P6" i="2"/>
  <c r="P13" i="2" s="1"/>
  <c r="Q6" i="2"/>
  <c r="Q13" i="2" s="1"/>
  <c r="R6" i="2"/>
  <c r="R13" i="2" s="1"/>
  <c r="S6" i="2"/>
  <c r="S13" i="2" s="1"/>
  <c r="T6" i="2"/>
  <c r="T13" i="2" s="1"/>
  <c r="U6" i="2"/>
  <c r="U13" i="2" s="1"/>
  <c r="V6" i="2"/>
  <c r="V13" i="2" s="1"/>
  <c r="W6" i="2"/>
  <c r="W13" i="2" s="1"/>
  <c r="X6" i="2"/>
  <c r="X13" i="2" s="1"/>
  <c r="Y6" i="2"/>
  <c r="Y13" i="2" s="1"/>
  <c r="Z6" i="2"/>
  <c r="Z13" i="2" s="1"/>
  <c r="AA6" i="2"/>
  <c r="AA13" i="2" s="1"/>
  <c r="AB6" i="2"/>
  <c r="AB13" i="2" s="1"/>
  <c r="C6" i="2"/>
  <c r="C13" i="2" s="1"/>
  <c r="AC13" i="2" l="1"/>
  <c r="C9" i="2"/>
  <c r="D9" i="2"/>
  <c r="D10" i="2" s="1"/>
  <c r="D16" i="2" s="1"/>
  <c r="E9" i="2"/>
  <c r="E10" i="2" s="1"/>
  <c r="E16" i="2" s="1"/>
  <c r="F9" i="2"/>
  <c r="F10" i="2" s="1"/>
  <c r="F16" i="2" s="1"/>
  <c r="G9" i="2"/>
  <c r="G10" i="2" s="1"/>
  <c r="G16" i="2" s="1"/>
  <c r="I9" i="2"/>
  <c r="I10" i="2" s="1"/>
  <c r="I16" i="2" s="1"/>
  <c r="J9" i="2"/>
  <c r="J10" i="2" s="1"/>
  <c r="J16" i="2" s="1"/>
  <c r="K9" i="2"/>
  <c r="K10" i="2" s="1"/>
  <c r="K16" i="2" s="1"/>
  <c r="L9" i="2"/>
  <c r="L10" i="2" s="1"/>
  <c r="L16" i="2" s="1"/>
  <c r="M9" i="2"/>
  <c r="M10" i="2" s="1"/>
  <c r="M16" i="2" s="1"/>
  <c r="N9" i="2"/>
  <c r="N10" i="2" s="1"/>
  <c r="N16" i="2" s="1"/>
  <c r="O9" i="2"/>
  <c r="O10" i="2" s="1"/>
  <c r="O16" i="2" s="1"/>
  <c r="P9" i="2"/>
  <c r="P10" i="2" s="1"/>
  <c r="P16" i="2" s="1"/>
  <c r="Q9" i="2"/>
  <c r="Q10" i="2" s="1"/>
  <c r="Q16" i="2" s="1"/>
  <c r="R9" i="2"/>
  <c r="R10" i="2" s="1"/>
  <c r="R16" i="2" s="1"/>
  <c r="S9" i="2"/>
  <c r="S10" i="2" s="1"/>
  <c r="S16" i="2" s="1"/>
  <c r="T9" i="2"/>
  <c r="T10" i="2" s="1"/>
  <c r="T16" i="2" s="1"/>
  <c r="U9" i="2"/>
  <c r="U10" i="2" s="1"/>
  <c r="U16" i="2" s="1"/>
  <c r="V9" i="2"/>
  <c r="V10" i="2" s="1"/>
  <c r="V16" i="2" s="1"/>
  <c r="W9" i="2"/>
  <c r="W10" i="2" s="1"/>
  <c r="W16" i="2" s="1"/>
  <c r="X9" i="2"/>
  <c r="X10" i="2" s="1"/>
  <c r="X16" i="2" s="1"/>
  <c r="Y9" i="2"/>
  <c r="Y10" i="2" s="1"/>
  <c r="Y16" i="2" s="1"/>
  <c r="Z9" i="2"/>
  <c r="Z10" i="2" s="1"/>
  <c r="Z16" i="2" s="1"/>
  <c r="AA9" i="2"/>
  <c r="AA10" i="2" s="1"/>
  <c r="AA16" i="2" s="1"/>
  <c r="AB9" i="2"/>
  <c r="AB10" i="2" s="1"/>
  <c r="AB16" i="2" s="1"/>
  <c r="AB22" i="2" s="1"/>
  <c r="AB25" i="2" s="1"/>
  <c r="H9" i="2"/>
  <c r="H10" i="2" s="1"/>
  <c r="H16" i="2" s="1"/>
  <c r="F32" i="3"/>
  <c r="F22" i="2" l="1"/>
  <c r="F25" i="2" s="1"/>
  <c r="O22" i="2"/>
  <c r="O25" i="2" s="1"/>
  <c r="Z22" i="2"/>
  <c r="Z25" i="2" s="1"/>
  <c r="P22" i="2"/>
  <c r="P25" i="2" s="1"/>
  <c r="D22" i="2"/>
  <c r="D25" i="2" s="1"/>
  <c r="L22" i="2"/>
  <c r="L25" i="2" s="1"/>
  <c r="X22" i="2"/>
  <c r="X25" i="2" s="1"/>
  <c r="M22" i="2"/>
  <c r="M25" i="2" s="1"/>
  <c r="Y22" i="2"/>
  <c r="Y25" i="2" s="1"/>
  <c r="K22" i="2"/>
  <c r="K25" i="2" s="1"/>
  <c r="W22" i="2"/>
  <c r="W25" i="2" s="1"/>
  <c r="T22" i="2"/>
  <c r="T25" i="2" s="1"/>
  <c r="Q22" i="2"/>
  <c r="Q25" i="2" s="1"/>
  <c r="AA22" i="2"/>
  <c r="AA25" i="2" s="1"/>
  <c r="S22" i="2"/>
  <c r="S25" i="2" s="1"/>
  <c r="R22" i="2"/>
  <c r="R25" i="2" s="1"/>
  <c r="J22" i="2"/>
  <c r="J25" i="2" s="1"/>
  <c r="I22" i="2"/>
  <c r="I25" i="2" s="1"/>
  <c r="U22" i="2"/>
  <c r="U25" i="2" s="1"/>
  <c r="G22" i="2"/>
  <c r="G25" i="2" s="1"/>
  <c r="H22" i="2"/>
  <c r="H25" i="2" s="1"/>
  <c r="AC9" i="2"/>
  <c r="C10" i="2"/>
  <c r="C16" i="2" s="1"/>
  <c r="N22" i="2"/>
  <c r="N25" i="2" s="1"/>
  <c r="E22" i="2"/>
  <c r="E25" i="2" s="1"/>
  <c r="V22" i="2"/>
  <c r="V25" i="2" s="1"/>
  <c r="C24" i="2"/>
  <c r="Y24" i="2"/>
  <c r="U24" i="2"/>
  <c r="Q24" i="2"/>
  <c r="M24" i="2"/>
  <c r="U29" i="2" l="1"/>
  <c r="C29" i="2"/>
  <c r="M29" i="2"/>
  <c r="Q29" i="2"/>
  <c r="Y29" i="2"/>
  <c r="Q26" i="2"/>
  <c r="AC16" i="2"/>
  <c r="AC22" i="2" s="1"/>
  <c r="C22" i="2"/>
  <c r="M26" i="2"/>
  <c r="U26" i="2"/>
  <c r="Y26" i="2"/>
  <c r="E24" i="2"/>
  <c r="I24" i="2"/>
  <c r="G24" i="2"/>
  <c r="K24" i="2"/>
  <c r="W24" i="2"/>
  <c r="AA24" i="2"/>
  <c r="O24" i="2"/>
  <c r="S24" i="2"/>
  <c r="J24" i="2"/>
  <c r="H24" i="2"/>
  <c r="L24" i="2"/>
  <c r="P24" i="2"/>
  <c r="T24" i="2"/>
  <c r="X24" i="2"/>
  <c r="AB24" i="2"/>
  <c r="F24" i="2"/>
  <c r="V24" i="2"/>
  <c r="N24" i="2"/>
  <c r="R24" i="2"/>
  <c r="Z24" i="2"/>
  <c r="C25" i="2" l="1"/>
  <c r="C26" i="2" s="1"/>
  <c r="D24" i="2"/>
  <c r="D29" i="2" s="1"/>
  <c r="N29" i="2"/>
  <c r="K26" i="2"/>
  <c r="AB29" i="2"/>
  <c r="H29" i="2"/>
  <c r="V29" i="2"/>
  <c r="E29" i="2"/>
  <c r="G29" i="2"/>
  <c r="G26" i="2"/>
  <c r="AB26" i="2"/>
  <c r="I29" i="2"/>
  <c r="I26" i="2"/>
  <c r="E26" i="2"/>
  <c r="F29" i="2"/>
  <c r="F26" i="2"/>
  <c r="J29" i="2"/>
  <c r="J26" i="2"/>
  <c r="S29" i="2"/>
  <c r="S26" i="2"/>
  <c r="L29" i="2"/>
  <c r="L26" i="2"/>
  <c r="X29" i="2"/>
  <c r="X26" i="2"/>
  <c r="O29" i="2"/>
  <c r="O26" i="2"/>
  <c r="N26" i="2"/>
  <c r="Z29" i="2"/>
  <c r="Z26" i="2"/>
  <c r="T29" i="2"/>
  <c r="T26" i="2"/>
  <c r="AA29" i="2"/>
  <c r="AA26" i="2"/>
  <c r="V26" i="2"/>
  <c r="R29" i="2"/>
  <c r="R26" i="2"/>
  <c r="P29" i="2"/>
  <c r="P26" i="2"/>
  <c r="W29" i="2"/>
  <c r="W26" i="2"/>
  <c r="H26" i="2"/>
  <c r="K29" i="2"/>
  <c r="C5" i="8"/>
  <c r="D26" i="2" l="1"/>
  <c r="C6" i="8"/>
  <c r="C7" i="8" s="1"/>
  <c r="C9" i="8" s="1"/>
  <c r="E21" i="6" l="1"/>
  <c r="F21" i="6" s="1"/>
  <c r="E16" i="6"/>
  <c r="F16" i="6" s="1"/>
  <c r="E20" i="6"/>
  <c r="F20" i="6" s="1"/>
  <c r="E29" i="6"/>
  <c r="F29" i="6" s="1"/>
  <c r="E24" i="6"/>
  <c r="F24" i="6" s="1"/>
  <c r="E18" i="6"/>
  <c r="F18" i="6" s="1"/>
  <c r="E12" i="6"/>
  <c r="F12" i="6" s="1"/>
  <c r="E22" i="6"/>
  <c r="F22" i="6" s="1"/>
  <c r="E17" i="6"/>
  <c r="F17" i="6" s="1"/>
  <c r="E30" i="6"/>
  <c r="F30" i="6" s="1"/>
  <c r="E25" i="6"/>
  <c r="F25" i="6" s="1"/>
  <c r="E26" i="6"/>
  <c r="F26" i="6" s="1"/>
  <c r="E33" i="6"/>
  <c r="F33" i="6" s="1"/>
  <c r="E28" i="6"/>
  <c r="F28" i="6" s="1"/>
  <c r="E10" i="6"/>
  <c r="F10" i="6" s="1"/>
  <c r="E15" i="6"/>
  <c r="F15" i="6" s="1"/>
  <c r="E11" i="6"/>
  <c r="F11" i="6" s="1"/>
  <c r="E23" i="6"/>
  <c r="F23" i="6" s="1"/>
  <c r="E19" i="6"/>
  <c r="F19" i="6" s="1"/>
  <c r="E31" i="6"/>
  <c r="F31" i="6" s="1"/>
  <c r="E27" i="6"/>
  <c r="F27" i="6" s="1"/>
  <c r="E13" i="6"/>
  <c r="F13" i="6" s="1"/>
  <c r="E34" i="6"/>
  <c r="F34" i="6" s="1"/>
  <c r="E32" i="6"/>
  <c r="F32" i="6" s="1"/>
  <c r="E14" i="6"/>
  <c r="F14" i="6" s="1"/>
  <c r="E9" i="6"/>
  <c r="H15" i="6" l="1"/>
  <c r="I15" i="6" s="1"/>
  <c r="C14" i="7"/>
  <c r="B14" i="7"/>
  <c r="B31" i="7"/>
  <c r="H32" i="6"/>
  <c r="I32" i="6" s="1"/>
  <c r="C31" i="7"/>
  <c r="H26" i="6"/>
  <c r="I26" i="6" s="1"/>
  <c r="C25" i="7"/>
  <c r="B25" i="7"/>
  <c r="C22" i="7"/>
  <c r="B22" i="7"/>
  <c r="H23" i="6"/>
  <c r="I23" i="6" s="1"/>
  <c r="F9" i="6"/>
  <c r="E36" i="6"/>
  <c r="B24" i="7"/>
  <c r="H25" i="6"/>
  <c r="I25" i="6" s="1"/>
  <c r="C24" i="7"/>
  <c r="B9" i="7"/>
  <c r="C9" i="7"/>
  <c r="H10" i="6"/>
  <c r="I10" i="6" s="1"/>
  <c r="C33" i="7"/>
  <c r="H34" i="6"/>
  <c r="I34" i="6" s="1"/>
  <c r="B33" i="7"/>
  <c r="H13" i="6"/>
  <c r="I13" i="6" s="1"/>
  <c r="B12" i="7"/>
  <c r="C12" i="7"/>
  <c r="H30" i="6"/>
  <c r="I30" i="6" s="1"/>
  <c r="C29" i="7"/>
  <c r="B29" i="7"/>
  <c r="B27" i="7"/>
  <c r="C27" i="7"/>
  <c r="H28" i="6"/>
  <c r="I28" i="6" s="1"/>
  <c r="C26" i="7"/>
  <c r="B26" i="7"/>
  <c r="H27" i="6"/>
  <c r="I27" i="6" s="1"/>
  <c r="B16" i="7"/>
  <c r="H17" i="6"/>
  <c r="I17" i="6" s="1"/>
  <c r="C16" i="7"/>
  <c r="C10" i="7"/>
  <c r="B10" i="7"/>
  <c r="H11" i="6"/>
  <c r="I11" i="6" s="1"/>
  <c r="B13" i="7"/>
  <c r="C13" i="7"/>
  <c r="H14" i="6"/>
  <c r="I14" i="6" s="1"/>
  <c r="H31" i="6"/>
  <c r="I31" i="6" s="1"/>
  <c r="C30" i="7"/>
  <c r="B30" i="7"/>
  <c r="B21" i="7"/>
  <c r="H22" i="6"/>
  <c r="I22" i="6" s="1"/>
  <c r="C21" i="7"/>
  <c r="B11" i="7"/>
  <c r="H12" i="6"/>
  <c r="I12" i="6" s="1"/>
  <c r="C11" i="7"/>
  <c r="B17" i="7"/>
  <c r="H18" i="6"/>
  <c r="I18" i="6" s="1"/>
  <c r="C17" i="7"/>
  <c r="B23" i="7"/>
  <c r="H24" i="6"/>
  <c r="I24" i="6" s="1"/>
  <c r="C23" i="7"/>
  <c r="C28" i="7"/>
  <c r="B28" i="7"/>
  <c r="H29" i="6"/>
  <c r="I29" i="6" s="1"/>
  <c r="H20" i="6"/>
  <c r="I20" i="6" s="1"/>
  <c r="C19" i="7"/>
  <c r="B19" i="7"/>
  <c r="H16" i="6"/>
  <c r="I16" i="6" s="1"/>
  <c r="C15" i="7"/>
  <c r="B15" i="7"/>
  <c r="B18" i="7"/>
  <c r="H19" i="6"/>
  <c r="I19" i="6" s="1"/>
  <c r="C18" i="7"/>
  <c r="H33" i="6"/>
  <c r="I33" i="6" s="1"/>
  <c r="B32" i="7"/>
  <c r="C32" i="7"/>
  <c r="C20" i="7"/>
  <c r="H21" i="6"/>
  <c r="I21" i="6" s="1"/>
  <c r="B20" i="7"/>
  <c r="D31" i="7" l="1"/>
  <c r="E31" i="7" s="1"/>
  <c r="D24" i="7"/>
  <c r="E24" i="7" s="1"/>
  <c r="D10" i="7"/>
  <c r="E10" i="7" s="1"/>
  <c r="D28" i="7"/>
  <c r="E28" i="7" s="1"/>
  <c r="D30" i="7"/>
  <c r="E30" i="7" s="1"/>
  <c r="D19" i="7"/>
  <c r="E19" i="7" s="1"/>
  <c r="D14" i="7"/>
  <c r="E14" i="7" s="1"/>
  <c r="D12" i="7"/>
  <c r="E12" i="7" s="1"/>
  <c r="D32" i="7"/>
  <c r="E32" i="7" s="1"/>
  <c r="D16" i="7"/>
  <c r="E16" i="7" s="1"/>
  <c r="D25" i="7"/>
  <c r="E25" i="7" s="1"/>
  <c r="D15" i="7"/>
  <c r="E15" i="7" s="1"/>
  <c r="D27" i="7"/>
  <c r="E27" i="7" s="1"/>
  <c r="D17" i="7"/>
  <c r="E17" i="7" s="1"/>
  <c r="D22" i="7"/>
  <c r="E22" i="7" s="1"/>
  <c r="D9" i="7"/>
  <c r="E9" i="7" s="1"/>
  <c r="D29" i="7"/>
  <c r="E29" i="7" s="1"/>
  <c r="D21" i="7"/>
  <c r="E21" i="7" s="1"/>
  <c r="D23" i="7"/>
  <c r="E23" i="7" s="1"/>
  <c r="D33" i="7"/>
  <c r="E33" i="7" s="1"/>
  <c r="D20" i="7"/>
  <c r="E20" i="7" s="1"/>
  <c r="D13" i="7"/>
  <c r="E13" i="7" s="1"/>
  <c r="D26" i="7"/>
  <c r="E26" i="7" s="1"/>
  <c r="C8" i="7"/>
  <c r="C35" i="7" s="1"/>
  <c r="B8" i="7"/>
  <c r="F36" i="6"/>
  <c r="H9" i="6"/>
  <c r="D11" i="7"/>
  <c r="E11" i="7" s="1"/>
  <c r="D18" i="7"/>
  <c r="E18" i="7" s="1"/>
  <c r="D8" i="7" l="1"/>
  <c r="D35" i="7" s="1"/>
  <c r="I9" i="6"/>
  <c r="H36" i="6"/>
  <c r="I36" i="6" s="1"/>
  <c r="B35" i="7"/>
  <c r="E8" i="7" l="1"/>
  <c r="E35" i="7"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A04E045-1DDE-451D-BD6A-503834006A7D}" odcFile="\\adb.intra.admin.ch\Userhome$\BAG-01\U80879365\data\Documents\Meine Datenquellen\ISAK Cube Produktion S00062.odc" keepAlive="1" name="ISAK Cube Produktion" description="Gruppe23: S00062" type="5" refreshedVersion="7" background="1">
    <dbPr connection="Provider=MSOLAP.8;Persist Security Info=True;User ID=SSZADMBIT\S00062;Initial Catalog=ISAK_Analysis;Data Source=isak.bag.admin.ch;MDX Compatibility=1;Safety Options=2;MDX Missing Member Mode=Error;Update Isolation Level=2" command="ISAK_Finanzerhebung" commandType="1"/>
    <olapPr rowDrillCount="1000" serverFill="0" serverNumberFormat="0" serverFont="0" serverFontColor="0"/>
  </connection>
  <connection id="2" xr16:uid="{45B4DF40-3EF7-4D1A-A8B7-F83A3E9D5974}" odcFile="\\adb.intra.admin.ch\Userhome$\BAG-01\U80879365\data\Documents\Meine Datenquellen\ISAK_Statistik_PROD_S00062.odc" keepAlive="1" name="ISAK_Statistik_PROD_S00062" description="Gruppe23: S00062" type="5" refreshedVersion="0" new="1" background="1">
    <dbPr connection="Provider=MSOLAP.3;Password=Sommer2013$Now!;Persist Security Info=True;User ID=SSZADMBIT\S00062;Data Source=isak.bag.admin.ch;Initial Catalog=ISAK_Analysis_Stat" command="ISAK_Statistik" commandType="1"/>
    <olapPr rowDrillCount="1000" serverFill="0" serverNumberFormat="0" serverFont="0" serverFontColor="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2">
    <s v="ISAK Cube Produktion"/>
    <s v="[Versicherer].[Versicherer Nr].[All]"/>
    <s v="{[Geschäftsjahr].[Geschäftsjahr].&amp;[2024]}"/>
    <s v="{[Erhebung Finanzen].[Erhebung Name].&amp;[Jahresrechnung definitiv]}"/>
    <s v="[Measures].[Wert Kontenplan]"/>
    <s v="[Kontenplan].[Hierarchie].&amp;[STA/SATGG/GG ZH]"/>
    <s v="#,###"/>
    <s v="[Kontenplan].[Hierarchie].&amp;[STA/SATGG/GG AG]"/>
    <s v="[Kontenplan].[Hierarchie].&amp;[STA/SATGG/GG AI]"/>
    <s v="[Kontenplan].[Hierarchie].&amp;[STA/SATGG/GG AR]"/>
    <s v="[Kontenplan].[Hierarchie].&amp;[STA/SATGG/GG BE]"/>
    <s v="[Kontenplan].[Hierarchie].&amp;[STA/SATGG/GG BL]"/>
    <s v="[Kontenplan].[Hierarchie].&amp;[STA/SATGG/GG BS]"/>
    <s v="[Kontenplan].[Hierarchie].&amp;[STA/SATGG/GG FR]"/>
    <s v="[Kontenplan].[Hierarchie].&amp;[STA/SATGG/GG GE]"/>
    <s v="[Kontenplan].[Hierarchie].&amp;[STA/SATGG/GG GL]"/>
    <s v="[Kontenplan].[Hierarchie].&amp;[STA/SATGG/GG GR]"/>
    <s v="[Kontenplan].[Hierarchie].&amp;[STA/SATGG/GG JU]"/>
    <s v="[Kontenplan].[Hierarchie].&amp;[STA/SATGG/GG LU]"/>
    <s v="[Kontenplan].[Hierarchie].&amp;[STA/SATGG/GG NE]"/>
    <s v="[Kontenplan].[Hierarchie].&amp;[STA/SATGG/GG NW]"/>
    <s v="[Kontenplan].[Hierarchie].&amp;[STA/SATGG/GG OW]"/>
    <s v="[Kontenplan].[Hierarchie].&amp;[STA/SATGG/GG SG]"/>
    <s v="[Kontenplan].[Hierarchie].&amp;[STA/SATGG/GG SH]"/>
    <s v="[Kontenplan].[Hierarchie].&amp;[STA/SATGG/GG SO]"/>
    <s v="[Kontenplan].[Hierarchie].&amp;[STA/SATGG/GG SZ]"/>
    <s v="[Kontenplan].[Hierarchie].&amp;[STA/SATGG/GG TG]"/>
    <s v="[Kontenplan].[Hierarchie].&amp;[STA/SATGG/GG TI]"/>
    <s v="[Kontenplan].[Hierarchie].&amp;[STA/SATGG/GG UR]"/>
    <s v="[Kontenplan].[Hierarchie].&amp;[STA/SATGG/GG VD]"/>
    <s v="[Kontenplan].[Hierarchie].&amp;[STA/SATGG/GG VS]"/>
    <s v="[Kontenplan].[Hierarchie].&amp;[STA/SATGG/GG ZG]"/>
  </metadataStrings>
  <mdxMetadata count="26">
    <mdx n="0" f="v">
      <t c="5" si="6">
        <n x="2" s="1"/>
        <n x="3" s="1"/>
        <n x="4"/>
        <n x="5"/>
        <n x="1"/>
      </t>
    </mdx>
    <mdx n="0" f="v">
      <t c="5" si="6">
        <n x="2" s="1"/>
        <n x="3" s="1"/>
        <n x="4"/>
        <n x="7"/>
        <n x="1"/>
      </t>
    </mdx>
    <mdx n="0" f="v">
      <t c="5" si="6">
        <n x="2" s="1"/>
        <n x="3" s="1"/>
        <n x="4"/>
        <n x="8"/>
        <n x="1"/>
      </t>
    </mdx>
    <mdx n="0" f="v">
      <t c="5" si="6">
        <n x="2" s="1"/>
        <n x="3" s="1"/>
        <n x="4"/>
        <n x="9"/>
        <n x="1"/>
      </t>
    </mdx>
    <mdx n="0" f="v">
      <t c="5" si="6">
        <n x="2" s="1"/>
        <n x="3" s="1"/>
        <n x="4"/>
        <n x="10"/>
        <n x="1"/>
      </t>
    </mdx>
    <mdx n="0" f="v">
      <t c="5" si="6">
        <n x="2" s="1"/>
        <n x="3" s="1"/>
        <n x="4"/>
        <n x="11"/>
        <n x="1"/>
      </t>
    </mdx>
    <mdx n="0" f="v">
      <t c="5" si="6">
        <n x="2" s="1"/>
        <n x="3" s="1"/>
        <n x="4"/>
        <n x="12"/>
        <n x="1"/>
      </t>
    </mdx>
    <mdx n="0" f="v">
      <t c="5" si="6">
        <n x="2" s="1"/>
        <n x="3" s="1"/>
        <n x="4"/>
        <n x="13"/>
        <n x="1"/>
      </t>
    </mdx>
    <mdx n="0" f="v">
      <t c="5" si="6">
        <n x="2" s="1"/>
        <n x="3" s="1"/>
        <n x="4"/>
        <n x="14"/>
        <n x="1"/>
      </t>
    </mdx>
    <mdx n="0" f="v">
      <t c="5" si="6">
        <n x="2" s="1"/>
        <n x="3" s="1"/>
        <n x="4"/>
        <n x="15"/>
        <n x="1"/>
      </t>
    </mdx>
    <mdx n="0" f="v">
      <t c="5" si="6">
        <n x="2" s="1"/>
        <n x="3" s="1"/>
        <n x="4"/>
        <n x="16"/>
        <n x="1"/>
      </t>
    </mdx>
    <mdx n="0" f="v">
      <t c="5" si="6">
        <n x="2" s="1"/>
        <n x="3" s="1"/>
        <n x="4"/>
        <n x="17"/>
        <n x="1"/>
      </t>
    </mdx>
    <mdx n="0" f="v">
      <t c="5" si="6">
        <n x="2" s="1"/>
        <n x="3" s="1"/>
        <n x="4"/>
        <n x="18"/>
        <n x="1"/>
      </t>
    </mdx>
    <mdx n="0" f="v">
      <t c="5" si="6">
        <n x="2" s="1"/>
        <n x="3" s="1"/>
        <n x="4"/>
        <n x="19"/>
        <n x="1"/>
      </t>
    </mdx>
    <mdx n="0" f="v">
      <t c="5" si="6">
        <n x="2" s="1"/>
        <n x="3" s="1"/>
        <n x="4"/>
        <n x="20"/>
        <n x="1"/>
      </t>
    </mdx>
    <mdx n="0" f="v">
      <t c="5" si="6">
        <n x="2" s="1"/>
        <n x="3" s="1"/>
        <n x="4"/>
        <n x="21"/>
        <n x="1"/>
      </t>
    </mdx>
    <mdx n="0" f="v">
      <t c="5" si="6">
        <n x="2" s="1"/>
        <n x="3" s="1"/>
        <n x="4"/>
        <n x="22"/>
        <n x="1"/>
      </t>
    </mdx>
    <mdx n="0" f="v">
      <t c="5" si="6">
        <n x="2" s="1"/>
        <n x="3" s="1"/>
        <n x="4"/>
        <n x="23"/>
        <n x="1"/>
      </t>
    </mdx>
    <mdx n="0" f="v">
      <t c="5" si="6">
        <n x="2" s="1"/>
        <n x="3" s="1"/>
        <n x="4"/>
        <n x="24"/>
        <n x="1"/>
      </t>
    </mdx>
    <mdx n="0" f="v">
      <t c="5" si="6">
        <n x="2" s="1"/>
        <n x="3" s="1"/>
        <n x="4"/>
        <n x="25"/>
        <n x="1"/>
      </t>
    </mdx>
    <mdx n="0" f="v">
      <t c="5" si="6">
        <n x="2" s="1"/>
        <n x="3" s="1"/>
        <n x="4"/>
        <n x="26"/>
        <n x="1"/>
      </t>
    </mdx>
    <mdx n="0" f="v">
      <t c="5" si="6">
        <n x="2" s="1"/>
        <n x="3" s="1"/>
        <n x="4"/>
        <n x="27"/>
        <n x="1"/>
      </t>
    </mdx>
    <mdx n="0" f="v">
      <t c="5" si="6">
        <n x="2" s="1"/>
        <n x="3" s="1"/>
        <n x="4"/>
        <n x="28"/>
        <n x="1"/>
      </t>
    </mdx>
    <mdx n="0" f="v">
      <t c="5" si="6">
        <n x="2" s="1"/>
        <n x="3" s="1"/>
        <n x="4"/>
        <n x="29"/>
        <n x="1"/>
      </t>
    </mdx>
    <mdx n="0" f="v">
      <t c="5" si="6">
        <n x="2" s="1"/>
        <n x="3" s="1"/>
        <n x="4"/>
        <n x="30"/>
        <n x="1"/>
      </t>
    </mdx>
    <mdx n="0" f="v">
      <t c="5" si="6">
        <n x="2" s="1"/>
        <n x="3" s="1"/>
        <n x="4"/>
        <n x="31"/>
        <n x="1"/>
      </t>
    </mdx>
  </mdxMetadata>
  <valueMetadata count="26">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valueMetadata>
</metadata>
</file>

<file path=xl/sharedStrings.xml><?xml version="1.0" encoding="utf-8"?>
<sst xmlns="http://schemas.openxmlformats.org/spreadsheetml/2006/main" count="467" uniqueCount="209">
  <si>
    <t>Kanton</t>
  </si>
  <si>
    <t>CH</t>
  </si>
  <si>
    <t xml:space="preserve">Anzahl steuerpflichtige Personen (EStV): </t>
  </si>
  <si>
    <t xml:space="preserve">Versichertenbestand (OKP STAT): </t>
  </si>
  <si>
    <t xml:space="preserve">Skalierungsfaktor Einkommen </t>
  </si>
  <si>
    <t>Prämiensoll der steuerpflichtigen Personen (EStV)</t>
  </si>
  <si>
    <t xml:space="preserve">Skalierungsfaktor Prämiensoll </t>
  </si>
  <si>
    <t>Summe des steuerbaren Einkommens (40% einkommensschwächsten Personen)</t>
  </si>
  <si>
    <t>Skaliertes steuerbares Einkommen (40% einkommensschwächsten Personen)</t>
  </si>
  <si>
    <t>Skaliertes Prämiensoll der 40-% einkommensschwächste Versicherte des Vor-Vorjahres</t>
  </si>
  <si>
    <t>Summe der zuletzt verfügbaren geleisteten Kantonsbeiträge für die IPV</t>
  </si>
  <si>
    <t xml:space="preserve">Geschätzte kantonale Bruttokosten </t>
  </si>
  <si>
    <t>Kantonaler Mindestanteil in Prozent (Übergangsbestimmung, Abs. 1)</t>
  </si>
  <si>
    <t>Kantonale Mindestbeiträge in Franken (Übergangsbestimmung, Abs. 1)</t>
  </si>
  <si>
    <t>BE</t>
  </si>
  <si>
    <t>LU</t>
  </si>
  <si>
    <t>UR</t>
  </si>
  <si>
    <t>SZ</t>
  </si>
  <si>
    <t>OW</t>
  </si>
  <si>
    <t>NW</t>
  </si>
  <si>
    <t>GL</t>
  </si>
  <si>
    <t>ZG</t>
  </si>
  <si>
    <t>FR</t>
  </si>
  <si>
    <t>SO</t>
  </si>
  <si>
    <t>BS</t>
  </si>
  <si>
    <t>BL</t>
  </si>
  <si>
    <t>SH</t>
  </si>
  <si>
    <t>AR</t>
  </si>
  <si>
    <t>AI</t>
  </si>
  <si>
    <t>SG</t>
  </si>
  <si>
    <t>GR</t>
  </si>
  <si>
    <t>AG</t>
  </si>
  <si>
    <t>TG</t>
  </si>
  <si>
    <t>TI</t>
  </si>
  <si>
    <t>VD</t>
  </si>
  <si>
    <t>VS</t>
  </si>
  <si>
    <t>NE</t>
  </si>
  <si>
    <t>GE</t>
  </si>
  <si>
    <t>JU</t>
  </si>
  <si>
    <t>ZH</t>
  </si>
  <si>
    <t>Bund</t>
  </si>
  <si>
    <t>Alle Altersklassen</t>
  </si>
  <si>
    <t>ZE</t>
  </si>
  <si>
    <t>OKP Stat (T 7.14)</t>
  </si>
  <si>
    <t>OKP Stat (T 4.07)</t>
  </si>
  <si>
    <t xml:space="preserve">Prämiensoll (40% einkommensschwächsten Versicherten) </t>
  </si>
  <si>
    <t>berechnet</t>
  </si>
  <si>
    <t>CHF</t>
  </si>
  <si>
    <t>%</t>
  </si>
  <si>
    <t xml:space="preserve"> </t>
  </si>
  <si>
    <t>Berechnung Bundesbeitrag</t>
  </si>
  <si>
    <t xml:space="preserve">Summe des geschätzten Prämiensoll </t>
  </si>
  <si>
    <t>Summe der geschätzten Kostenbeteiligung</t>
  </si>
  <si>
    <t>Summe der geschätzten Bruttokosten</t>
  </si>
  <si>
    <t>provisorischer Bundesbeitrag (7.5% der Bruttokosten)</t>
  </si>
  <si>
    <t>Wert</t>
  </si>
  <si>
    <t>Jahr</t>
  </si>
  <si>
    <t>Rechtliche Grundlage</t>
  </si>
  <si>
    <t>D - Deutsch</t>
  </si>
  <si>
    <t>Auswahl</t>
  </si>
  <si>
    <t>F - Français</t>
  </si>
  <si>
    <t>Facteur d'échelle pour les revenus</t>
  </si>
  <si>
    <t>Primes à recevoir des contribuables (AFC)</t>
  </si>
  <si>
    <t>Facteur d'échelle pour les primes à recevoir</t>
  </si>
  <si>
    <t>Arbeitsblatt</t>
  </si>
  <si>
    <t>Nombre de contribuables (AFC):</t>
  </si>
  <si>
    <t>Effectif des assurés (STAT AOS):</t>
  </si>
  <si>
    <t>Somme des revenus imposables des 40 % des contribuables aux revenus les plus faibles</t>
  </si>
  <si>
    <t>Revenus, mis à l'échelle, des 40 % des assurés aux revenus les plus faibles</t>
  </si>
  <si>
    <t>Primes à recevoir, mises à l'échelle, des 40 % des assurés aux revenus les plus faibles</t>
  </si>
  <si>
    <t>Prämiensoll von allen Versicherten (OKP STAT)</t>
  </si>
  <si>
    <t>Primes à recevoir des 40 % des assurés aux revenus les plus faibles</t>
  </si>
  <si>
    <t>Primes à recevoir de tous les assurés (STAT AOS)</t>
  </si>
  <si>
    <t>Charge des primes supportée par la proportion de 40 % des assurés aux revenus les plus faibles</t>
  </si>
  <si>
    <t>Summe der geleisteten Bundesbeiträge für die IPV</t>
  </si>
  <si>
    <t>Summe der geleisteten Kantonsbeiträge für die IPV</t>
  </si>
  <si>
    <t>Somme des contributions fédérales à la RIP</t>
  </si>
  <si>
    <t>Somme des contributions cantonales à la RIP</t>
  </si>
  <si>
    <t>Somme des dernières contributions cantonales à la RIP disponibles</t>
  </si>
  <si>
    <t>Somme des contributions cantonales et fédérales à la RIP</t>
  </si>
  <si>
    <t>Summe der geleisteten Kantons- und Bundesbeiträge für die IPV</t>
  </si>
  <si>
    <t>Prämienbelastung der 40% einkommensschwächsten Versicherten in Prozent</t>
  </si>
  <si>
    <t>Coûts bruts cantonaux estimés</t>
  </si>
  <si>
    <t>Pourcentage minimal du canton (Disposition transitoire, par. 1)</t>
  </si>
  <si>
    <t>Statistikdaten</t>
  </si>
  <si>
    <t>Canton</t>
  </si>
  <si>
    <t>Stat AOS (T 7.14)</t>
  </si>
  <si>
    <t>Stat AOS (T 4.07)</t>
  </si>
  <si>
    <t>PG Hochrechnung August</t>
  </si>
  <si>
    <t>Definitive Berechnung Bundesbeitrag</t>
  </si>
  <si>
    <t>PG Hochrechnung Août</t>
  </si>
  <si>
    <t>Calcul définitif de la contribution fédérale</t>
  </si>
  <si>
    <t xml:space="preserve">Versichertenbestand </t>
  </si>
  <si>
    <t>Versichertenbestand  (provisorisch)</t>
  </si>
  <si>
    <t xml:space="preserve">Prämiensoll </t>
  </si>
  <si>
    <t xml:space="preserve">Prämienverbiligung </t>
  </si>
  <si>
    <t xml:space="preserve">Geschätzte mittlere Prämie </t>
  </si>
  <si>
    <t xml:space="preserve">Geschätzter Versichertenbestand </t>
  </si>
  <si>
    <t xml:space="preserve">Geschätztes Prämiensoll </t>
  </si>
  <si>
    <t xml:space="preserve">Geschätzte Kostenbeteiligung </t>
  </si>
  <si>
    <t xml:space="preserve">Geschätzte Bruttokosten </t>
  </si>
  <si>
    <t>Effectif des assurés</t>
  </si>
  <si>
    <t>Effectif des assurés (provisoire)</t>
  </si>
  <si>
    <t>Primes à recevoir</t>
  </si>
  <si>
    <t>Réduction des primes</t>
  </si>
  <si>
    <t>Confédération</t>
  </si>
  <si>
    <t>Toutes classes d'âges</t>
  </si>
  <si>
    <t>Primes moyennes estimées</t>
  </si>
  <si>
    <t>Effectif des assurés estimé</t>
  </si>
  <si>
    <t>Primes à recevoir estimées</t>
  </si>
  <si>
    <t>Participation aux coûts estimée</t>
  </si>
  <si>
    <t>Coûts bruts estimés</t>
  </si>
  <si>
    <t>calculé</t>
  </si>
  <si>
    <t>Deutsch</t>
  </si>
  <si>
    <t>Français</t>
  </si>
  <si>
    <t>Einkommensdaten</t>
  </si>
  <si>
    <t xml:space="preserve">Anzahl steuerpflichtige Personen (ESTV) </t>
  </si>
  <si>
    <t>Prämiensoll der steuerpflichtigen Personen (ESTV)</t>
  </si>
  <si>
    <t>Nombre de contribuables (AFC)</t>
  </si>
  <si>
    <t>Bundesbeitrag 2026 (prov.)</t>
  </si>
  <si>
    <t>Calcul de la contribution fédérale</t>
  </si>
  <si>
    <t>Année</t>
  </si>
  <si>
    <t>Base juridique</t>
  </si>
  <si>
    <t>Montant</t>
  </si>
  <si>
    <t>Somme des primes à recevoir estimées</t>
  </si>
  <si>
    <t>Somme de la participation aux coûts estimée</t>
  </si>
  <si>
    <t>Somme des coûts bruts estimés</t>
  </si>
  <si>
    <t>Contribution fédérale provisoire (7.5% des coûts bruts)</t>
  </si>
  <si>
    <t xml:space="preserve">Répartit.-Ripartiz.-Aufteil. </t>
  </si>
  <si>
    <t>Dipartimento federale dell'interno DFI</t>
  </si>
  <si>
    <t>Département fédéral de l'intérieur DFI</t>
  </si>
  <si>
    <t>Eidgenössisches Departement des Innern EDI</t>
  </si>
  <si>
    <t>Ufficio federale della sanità pubblica UFSP</t>
  </si>
  <si>
    <t>Office fédéral de la santé publique OFSP</t>
  </si>
  <si>
    <t>Bundesamt für Gesundheit BAG</t>
  </si>
  <si>
    <t>Unità di direzione assicurazione malattia e infortunio</t>
  </si>
  <si>
    <t>Unité de direction Assurance maladie et accidents</t>
  </si>
  <si>
    <t>Direktionsbereich Kranken- und Unfallversicherung</t>
  </si>
  <si>
    <t>Popolazione residente media</t>
  </si>
  <si>
    <t>Population résidente moyenne (source OFS)</t>
  </si>
  <si>
    <t>Mittlere Wohnbevölkerung (gemäss Zahlen BFS)</t>
  </si>
  <si>
    <t>Frontalieri</t>
  </si>
  <si>
    <t>Frontaliers (source statistiques des assureurs)</t>
  </si>
  <si>
    <t>Grenzgänger (gemäss Statistikdaten Versicherer</t>
  </si>
  <si>
    <t>Popolazione residente media inclusi frontalieri</t>
  </si>
  <si>
    <t>Population résidente moyenne frontaliers compris</t>
  </si>
  <si>
    <t>Mittlere Wohnbevölkerung einschliesslich Grenzgänger</t>
  </si>
  <si>
    <t>Sussidio della Confederazione calcolato secondo la NPC per Cantone</t>
  </si>
  <si>
    <t>Part fédérale calculée selon la RPT pour chaque canton</t>
  </si>
  <si>
    <t>Berechneter Bundesbeitrag gemäss NFA pro Kanton</t>
  </si>
  <si>
    <t>Totale sussidio della Confederazione per Cantone</t>
  </si>
  <si>
    <t>Total de la contribution fédérale pour chaque canton</t>
  </si>
  <si>
    <t>Total Bundesbeitrag pro Kanton</t>
  </si>
  <si>
    <t>Crescita in</t>
  </si>
  <si>
    <t>Changement en</t>
  </si>
  <si>
    <t>Zuwachs in</t>
  </si>
  <si>
    <t>Cantone</t>
  </si>
  <si>
    <t>Anno di calcolo</t>
  </si>
  <si>
    <t>tranche-rata-rate</t>
  </si>
  <si>
    <t>Durchführungsjahr</t>
  </si>
  <si>
    <t xml:space="preserve">Année d’exécution </t>
  </si>
  <si>
    <t>Contribution minimal du canton en francs (Disposition transitoire, par. 1)</t>
  </si>
  <si>
    <t>Einleitung</t>
  </si>
  <si>
    <t>Stand</t>
  </si>
  <si>
    <t>État au</t>
  </si>
  <si>
    <t>Primes à recevoir des 40 % des contribuables aux revenus les plus faibles</t>
  </si>
  <si>
    <t>Introduction</t>
  </si>
  <si>
    <t xml:space="preserve">Bitte wählen Sie ihre bevorzugte Sprache :
Veuillez choisir votre langue de préférence : </t>
  </si>
  <si>
    <t xml:space="preserve">Primes moyennes (mensuelles) </t>
  </si>
  <si>
    <t xml:space="preserve">Primes moyennes </t>
  </si>
  <si>
    <t xml:space="preserve">Mittlere Prämie  (monatlich) </t>
  </si>
  <si>
    <t>Mittlere Prämie</t>
  </si>
  <si>
    <t>OKP Stat (T 3.06)</t>
  </si>
  <si>
    <t>Stat AOS (T 3.06)</t>
  </si>
  <si>
    <t>OKP Stat (T 2.10)</t>
  </si>
  <si>
    <t>Stat AOS (T 2.10)</t>
  </si>
  <si>
    <t>Kostenbeteiligung</t>
  </si>
  <si>
    <t>Participation aux coûts</t>
  </si>
  <si>
    <t>OKP Stat (T 3.04)</t>
  </si>
  <si>
    <t>Stat AOS (T 3.04)</t>
  </si>
  <si>
    <t>In dieser Tabelle ist die Aufteilung des Bundesbeitrags auf die Kantone aufgeführt (Art. 18 VPVK).</t>
  </si>
  <si>
    <t>Ce tableau montre la répartition de la contribution fédérale entre les cantons (art. 18 ORPM).</t>
  </si>
  <si>
    <t xml:space="preserve">Der Bundesbeitrag wird im Durchführungsjahr in drei Raten ausbezahlt (Art. 19 VPVK). In dieser Tabelle sind die drei Raten nach Kanton angegeben. </t>
  </si>
  <si>
    <t>La contribution fédérale sera versée en trois tranches au cours de l'année d'exécution (art. 19 ORPM). Ce tableau présente les trois tranches par canton.</t>
  </si>
  <si>
    <t>Art. 8 VPVK</t>
  </si>
  <si>
    <t>Art. 9 VPVK</t>
  </si>
  <si>
    <t>Art. 17 VPVK</t>
  </si>
  <si>
    <t>Art. 18 VPVK</t>
  </si>
  <si>
    <t>Art. 8 ORPM</t>
  </si>
  <si>
    <t>Art. 9 ORPM</t>
  </si>
  <si>
    <t>Art. 17 ORPM</t>
  </si>
  <si>
    <t>Art. 18 ORPM</t>
  </si>
  <si>
    <t xml:space="preserve">Diese Datei enthält die Berechnungen des Bundesbeitrags und dessen Aufteilung auf die Kantone (Art. 17ff. VPVK) sowie der kantonalen Mindestbeiträge an die Prämienverbilligung 2026 (Art. 6 VPVK). </t>
  </si>
  <si>
    <t>Ce fichier contient les calculs de la contribution fédérale et de sa répartition entre les cantons (art. 17 ss. ORPM) ainsi que les contributions minimales des cantons à la réduction des primes en 2026 (art. 6 ORPM).</t>
  </si>
  <si>
    <t xml:space="preserve">Die Berechnungen der kantonalen Mindestbeiträge sind in dieser Tabelle aufgeführt. Die Felder sind mit Formeln hinterlegt. Die Grundlagen dieser Berechnungen sind die Werte aus den Tabellen Einkommens- und Statistikdaten. 
</t>
  </si>
  <si>
    <t>Les calculs des contributions minimales des cantons sont présentés dans ce tableau. Les cellules sont remplies avec des formules. La base de ces calculs se trouve dans les tableaux de revenus et des données statistiques.</t>
  </si>
  <si>
    <t>Mindestbeiträge (def.)</t>
  </si>
  <si>
    <t>Bundesbeitrag 2026 (def.)</t>
  </si>
  <si>
    <t xml:space="preserve">Die Tabelle Statistikdaten enthält die Angaben aus der OKP Statistik sowie die für die Berechnung notwendigen Schätzungen für das Durchführsjahr.
</t>
  </si>
  <si>
    <t xml:space="preserve">Le tableau de données statistiques contient les informations des statistiques de l'AOS ainsi que les estimations nécessaires au calcul pour l'année d'exécution.
</t>
  </si>
  <si>
    <t xml:space="preserve">Die Tabelle Einkommensdaten enthält die Anzahl und das Prämiensoll der steuerpflichtigen Personen, die Summe des steuerbaren Einkommens und das Prämiensoll der 40% einkommensschwächsten Versicherten. </t>
  </si>
  <si>
    <t xml:space="preserve">Le tableau des données sur les revenus contient le nombre et la prime à recevoir des contribuables, le revenu imposable total et la prime à recevoir des 40 % des assurés ayant les revenus les plus bas. </t>
  </si>
  <si>
    <t>Aufteilung Bundesbeitrag</t>
  </si>
  <si>
    <t>Raten Bundesbeitrag</t>
  </si>
  <si>
    <t>Mindestbeiträge</t>
  </si>
  <si>
    <t>Kantonaler Mindestanteil in Prozent (indikativ) (Art. 65 Abs. 1quater ff. KVG)</t>
  </si>
  <si>
    <t>Pourcentage minimal du canton (indicatif) (Art. 65 al. 1quater ss. LAMal)</t>
  </si>
  <si>
    <t>Kantonale Mindestbeiträge in Franken (indikativ) (Art. 65 Abs. 1quater ff. KVG)</t>
  </si>
  <si>
    <t>Contribution minimal du canton en francs (indicatif) (Art. 65 al. 1quater ss. LAMal)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</si>
</sst>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3" formatCode="_ * #,##0.00_ ;_ * \-#,##0.00_ ;_ * &quot;-&quot;??_ ;_ @_ "/>
    <numFmt numFmtId="164" formatCode="_ * #,##0_ ;_ * \-#,##0_ ;_ * &quot;-&quot;??_ ;_ @_ "/>
    <numFmt numFmtId="165" formatCode="_ * #,##0.0000_ ;_ * \-#,##0.0000_ ;_ * &quot;-&quot;??_ ;_ @_ "/>
    <numFmt numFmtId="166" formatCode="0.0%"/>
    <numFmt numFmtId="167" formatCode="0.0000"/>
    <numFmt numFmtId="168" formatCode="_ * #,##0.0_ ;_ * \-#,##0.0_ ;_ * &quot;-&quot;?_ ;_ @_ "/>
    <numFmt numFmtId="169" formatCode="_-* #,##0.00\ _C_H_F_-;\-* #,##0.00\ _C_H_F_-;_-* &quot;-&quot;??\ _C_H_F_-;_-@_-"/>
    <numFmt numFmtId="170" formatCode="_ * #,##0.0_ ;_ * \-#,##0.0_ ;_ * &quot;-&quot;??_ ;_ @_ "/>
    <numFmt numFmtId="171" formatCode="#,##0.00_ ;\-#,##0.00\ "/>
    <numFmt numFmtId="172" formatCode="#,##0_ ;\-#,##0\ "/>
  </numFmts>
  <fonts count="45">
    <font>
      <sz val="11"/>
      <color indexed="8"/>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indexed="8"/>
      <name val="Calibri"/>
      <family val="2"/>
      <scheme val="minor"/>
    </font>
    <font>
      <sz val="8"/>
      <color theme="1"/>
      <name val="Arial"/>
      <family val="2"/>
    </font>
    <font>
      <sz val="11"/>
      <color theme="0"/>
      <name val="Calibri"/>
      <family val="2"/>
      <scheme val="minor"/>
    </font>
    <font>
      <sz val="8"/>
      <name val="Arial"/>
      <family val="2"/>
    </font>
    <font>
      <sz val="8"/>
      <color theme="0"/>
      <name val="Calibri"/>
      <family val="2"/>
      <scheme val="minor"/>
    </font>
    <font>
      <sz val="8"/>
      <color theme="0"/>
      <name val="Arial"/>
      <family val="2"/>
    </font>
    <font>
      <sz val="8"/>
      <color indexed="8"/>
      <name val="Arial"/>
      <family val="2"/>
    </font>
    <font>
      <b/>
      <sz val="10"/>
      <color indexed="8"/>
      <name val="Arial"/>
      <family val="2"/>
    </font>
    <font>
      <sz val="10"/>
      <color indexed="8"/>
      <name val="Arial"/>
      <family val="2"/>
    </font>
    <font>
      <b/>
      <sz val="10"/>
      <name val="Arial"/>
      <family val="2"/>
    </font>
    <font>
      <sz val="10"/>
      <color theme="1"/>
      <name val="Arial"/>
      <family val="2"/>
    </font>
    <font>
      <b/>
      <sz val="10"/>
      <color theme="1"/>
      <name val="Arial"/>
      <family val="2"/>
    </font>
    <font>
      <b/>
      <sz val="8"/>
      <color theme="1"/>
      <name val="Arial"/>
      <family val="2"/>
    </font>
    <font>
      <b/>
      <sz val="11"/>
      <color indexed="8"/>
      <name val="Calibri"/>
      <family val="2"/>
      <scheme val="minor"/>
    </font>
    <font>
      <b/>
      <i/>
      <sz val="8"/>
      <color theme="1"/>
      <name val="Arial"/>
      <family val="2"/>
    </font>
    <font>
      <i/>
      <sz val="8"/>
      <color theme="1"/>
      <name val="Arial"/>
      <family val="2"/>
    </font>
    <font>
      <i/>
      <sz val="8"/>
      <name val="Arial"/>
      <family val="2"/>
    </font>
    <font>
      <i/>
      <sz val="8"/>
      <color indexed="8"/>
      <name val="Arial"/>
      <family val="2"/>
    </font>
    <font>
      <b/>
      <sz val="11"/>
      <color theme="1"/>
      <name val="Arial"/>
      <family val="2"/>
    </font>
    <font>
      <sz val="11"/>
      <color indexed="8"/>
      <name val="Arial"/>
      <family val="2"/>
    </font>
    <font>
      <b/>
      <sz val="11"/>
      <color indexed="8"/>
      <name val="Arial"/>
      <family val="2"/>
    </font>
    <font>
      <b/>
      <sz val="11"/>
      <name val="Arial"/>
      <family val="2"/>
    </font>
    <font>
      <sz val="9"/>
      <color indexed="8"/>
      <name val="Arial"/>
      <family val="2"/>
    </font>
    <font>
      <b/>
      <sz val="9"/>
      <color indexed="8"/>
      <name val="Arial"/>
      <family val="2"/>
    </font>
    <font>
      <sz val="10"/>
      <name val="Arial"/>
      <family val="2"/>
    </font>
    <font>
      <sz val="7.5"/>
      <name val="Arial"/>
      <family val="2"/>
    </font>
    <font>
      <b/>
      <sz val="7.5"/>
      <name val="Arial"/>
      <family val="2"/>
    </font>
    <font>
      <sz val="14"/>
      <name val="Arial"/>
      <family val="2"/>
    </font>
    <font>
      <sz val="10"/>
      <color rgb="FFFF0000"/>
      <name val="Arial"/>
      <family val="2"/>
    </font>
    <font>
      <b/>
      <sz val="20"/>
      <name val="Arial"/>
      <family val="2"/>
    </font>
    <font>
      <b/>
      <sz val="8"/>
      <color indexed="8"/>
      <name val="Calibri"/>
      <family val="2"/>
      <scheme val="minor"/>
    </font>
    <font>
      <b/>
      <i/>
      <sz val="8"/>
      <color indexed="8"/>
      <name val="Arial"/>
      <family val="2"/>
    </font>
    <font>
      <b/>
      <sz val="8"/>
      <color indexed="8"/>
      <name val="Arial"/>
      <family val="2"/>
    </font>
    <font>
      <sz val="11"/>
      <color theme="1"/>
      <name val="Calibri"/>
      <family val="2"/>
      <scheme val="minor"/>
    </font>
    <font>
      <u/>
      <sz val="10"/>
      <color theme="10"/>
      <name val="Arial"/>
      <family val="2"/>
    </font>
    <font>
      <sz val="10"/>
      <name val="Arial"/>
      <family val="2"/>
    </font>
    <font>
      <sz val="10"/>
      <name val="55 Helvetica Roman"/>
    </font>
    <font>
      <sz val="11"/>
      <name val="Verdana"/>
      <family val="2"/>
    </font>
    <font>
      <sz val="9"/>
      <name val="Verdana"/>
      <family val="2"/>
    </font>
    <font>
      <sz val="11"/>
      <color rgb="FF000000"/>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42"/>
        <bgColor indexed="64"/>
      </patternFill>
    </fill>
    <fill>
      <patternFill patternType="solid">
        <fgColor rgb="FFCCFFCC"/>
        <bgColor indexed="64"/>
      </patternFill>
    </fill>
    <fill>
      <patternFill patternType="solid">
        <fgColor theme="4" tint="0.79998168889431442"/>
        <bgColor indexed="64"/>
      </patternFill>
    </fill>
  </fills>
  <borders count="19">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hair">
        <color auto="1"/>
      </left>
      <right style="hair">
        <color auto="1"/>
      </right>
      <top/>
      <bottom/>
      <diagonal/>
    </border>
    <border>
      <left/>
      <right/>
      <top style="thin">
        <color indexed="64"/>
      </top>
      <bottom style="double">
        <color indexed="64"/>
      </bottom>
      <diagonal/>
    </border>
    <border>
      <left style="hair">
        <color auto="1"/>
      </left>
      <right style="hair">
        <color auto="1"/>
      </right>
      <top style="thin">
        <color indexed="64"/>
      </top>
      <bottom style="double">
        <color indexed="64"/>
      </bottom>
      <diagonal/>
    </border>
    <border>
      <left style="hair">
        <color auto="1"/>
      </left>
      <right style="hair">
        <color auto="1"/>
      </right>
      <top style="thin">
        <color indexed="64"/>
      </top>
      <bottom/>
      <diagonal/>
    </border>
  </borders>
  <cellStyleXfs count="48">
    <xf numFmtId="0" fontId="0" fillId="0" borderId="0"/>
    <xf numFmtId="43" fontId="5" fillId="0" borderId="0" applyFont="0" applyFill="0" applyBorder="0" applyAlignment="0" applyProtection="0"/>
    <xf numFmtId="9" fontId="5" fillId="0" borderId="0" applyFont="0" applyFill="0" applyBorder="0" applyAlignment="0" applyProtection="0"/>
    <xf numFmtId="0" fontId="29" fillId="0" borderId="0"/>
    <xf numFmtId="43" fontId="29" fillId="0" borderId="0" applyFont="0" applyFill="0" applyBorder="0" applyAlignment="0" applyProtection="0"/>
    <xf numFmtId="9" fontId="29" fillId="0" borderId="0" applyFont="0" applyFill="0" applyBorder="0" applyAlignment="0" applyProtection="0"/>
    <xf numFmtId="0" fontId="5" fillId="0" borderId="0"/>
    <xf numFmtId="0" fontId="38" fillId="0" borderId="0"/>
    <xf numFmtId="43" fontId="5"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38" fillId="0" borderId="0"/>
    <xf numFmtId="43" fontId="38" fillId="0" borderId="0" applyFont="0" applyFill="0" applyBorder="0" applyAlignment="0" applyProtection="0"/>
    <xf numFmtId="9" fontId="38" fillId="0" borderId="0" applyFont="0" applyFill="0" applyBorder="0" applyAlignment="0" applyProtection="0"/>
    <xf numFmtId="0" fontId="2" fillId="0" borderId="0"/>
    <xf numFmtId="0" fontId="40" fillId="0" borderId="0"/>
    <xf numFmtId="0" fontId="39" fillId="0" borderId="0" applyNumberFormat="0" applyFill="0" applyBorder="0" applyAlignment="0" applyProtection="0"/>
    <xf numFmtId="9" fontId="29" fillId="0" borderId="0" applyFont="0" applyFill="0" applyBorder="0" applyAlignment="0" applyProtection="0"/>
    <xf numFmtId="43" fontId="29" fillId="0" borderId="0" applyFont="0" applyFill="0" applyBorder="0" applyAlignment="0" applyProtection="0"/>
    <xf numFmtId="0" fontId="41" fillId="0" borderId="0"/>
    <xf numFmtId="0" fontId="42" fillId="0" borderId="0"/>
    <xf numFmtId="43" fontId="43" fillId="0" borderId="0" applyFont="0" applyFill="0" applyBorder="0" applyAlignment="0" applyProtection="0"/>
    <xf numFmtId="166" fontId="42" fillId="0" borderId="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44" fillId="0" borderId="0"/>
    <xf numFmtId="0" fontId="2" fillId="0" borderId="0"/>
    <xf numFmtId="0" fontId="42" fillId="0" borderId="0"/>
    <xf numFmtId="166" fontId="42" fillId="0" borderId="0" applyFill="0" applyBorder="0" applyAlignment="0" applyProtection="0"/>
    <xf numFmtId="43" fontId="43" fillId="0" borderId="0" applyFont="0" applyFill="0" applyBorder="0" applyAlignment="0" applyProtection="0"/>
  </cellStyleXfs>
  <cellXfs count="151">
    <xf numFmtId="0" fontId="0" fillId="0" borderId="0" xfId="0"/>
    <xf numFmtId="0" fontId="12" fillId="0" borderId="0" xfId="0" applyFont="1"/>
    <xf numFmtId="0" fontId="13" fillId="0" borderId="0" xfId="0" applyFont="1"/>
    <xf numFmtId="0" fontId="13" fillId="0" borderId="0" xfId="0" applyFont="1" applyAlignment="1">
      <alignment wrapText="1"/>
    </xf>
    <xf numFmtId="0" fontId="12" fillId="0" borderId="0" xfId="0" applyFont="1" applyAlignment="1">
      <alignment horizontal="center" vertical="center"/>
    </xf>
    <xf numFmtId="0" fontId="13" fillId="0" borderId="0" xfId="0" applyFont="1" applyAlignment="1">
      <alignment horizontal="center"/>
    </xf>
    <xf numFmtId="169" fontId="13" fillId="0" borderId="0" xfId="0" applyNumberFormat="1" applyFont="1"/>
    <xf numFmtId="164" fontId="15" fillId="0" borderId="0" xfId="1" applyNumberFormat="1" applyFont="1" applyFill="1" applyBorder="1"/>
    <xf numFmtId="9" fontId="15" fillId="0" borderId="0" xfId="1" applyNumberFormat="1" applyFont="1" applyFill="1" applyBorder="1"/>
    <xf numFmtId="0" fontId="18" fillId="0" borderId="0" xfId="0" applyFont="1"/>
    <xf numFmtId="0" fontId="13" fillId="0" borderId="0" xfId="0" applyFont="1" applyAlignment="1">
      <alignment vertical="center"/>
    </xf>
    <xf numFmtId="0" fontId="12" fillId="0" borderId="0" xfId="0" applyFont="1" applyAlignment="1">
      <alignment vertical="center"/>
    </xf>
    <xf numFmtId="3" fontId="0" fillId="0" borderId="0" xfId="0" applyNumberFormat="1"/>
    <xf numFmtId="0" fontId="24" fillId="0" borderId="0" xfId="0" applyFont="1"/>
    <xf numFmtId="3" fontId="24" fillId="0" borderId="0" xfId="0" applyNumberFormat="1" applyFont="1"/>
    <xf numFmtId="3" fontId="24" fillId="0" borderId="2" xfId="0" applyNumberFormat="1" applyFont="1" applyBorder="1"/>
    <xf numFmtId="3" fontId="24" fillId="0" borderId="4" xfId="0" applyNumberFormat="1" applyFont="1" applyBorder="1"/>
    <xf numFmtId="0" fontId="23" fillId="0" borderId="7" xfId="0" applyFont="1" applyBorder="1" applyAlignment="1">
      <alignment horizontal="left" vertical="center" wrapText="1"/>
    </xf>
    <xf numFmtId="164" fontId="4" fillId="0" borderId="4" xfId="1" applyNumberFormat="1" applyFont="1" applyFill="1" applyBorder="1" applyAlignment="1">
      <alignment vertical="center"/>
    </xf>
    <xf numFmtId="164" fontId="4" fillId="0" borderId="8" xfId="1" applyNumberFormat="1" applyFont="1" applyFill="1" applyBorder="1" applyAlignment="1">
      <alignment vertical="center"/>
    </xf>
    <xf numFmtId="3" fontId="24" fillId="0" borderId="8" xfId="0" applyNumberFormat="1" applyFont="1" applyBorder="1"/>
    <xf numFmtId="0" fontId="24" fillId="0" borderId="0" xfId="0" applyFont="1" applyAlignment="1">
      <alignment vertical="center"/>
    </xf>
    <xf numFmtId="0" fontId="23" fillId="0" borderId="2"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8" xfId="0" applyFont="1" applyBorder="1" applyAlignment="1">
      <alignment horizontal="center" vertical="center" wrapText="1"/>
    </xf>
    <xf numFmtId="0" fontId="25" fillId="0" borderId="0" xfId="0" applyFont="1" applyAlignment="1">
      <alignment horizontal="center" vertical="center"/>
    </xf>
    <xf numFmtId="0" fontId="26" fillId="0" borderId="7" xfId="0" applyFont="1" applyBorder="1" applyAlignment="1">
      <alignment horizontal="left" vertical="center"/>
    </xf>
    <xf numFmtId="0" fontId="25" fillId="0" borderId="8" xfId="0" applyFont="1" applyBorder="1" applyAlignment="1">
      <alignment horizontal="center" vertical="center"/>
    </xf>
    <xf numFmtId="0" fontId="26" fillId="0" borderId="14" xfId="0" applyFont="1" applyBorder="1" applyAlignment="1">
      <alignment horizontal="center" vertical="center"/>
    </xf>
    <xf numFmtId="0" fontId="26" fillId="0" borderId="8" xfId="0" applyFont="1" applyBorder="1" applyAlignment="1">
      <alignment horizontal="center" vertical="center"/>
    </xf>
    <xf numFmtId="164" fontId="4" fillId="2" borderId="3" xfId="1" applyNumberFormat="1" applyFont="1" applyFill="1" applyBorder="1" applyAlignment="1">
      <alignment vertical="center"/>
    </xf>
    <xf numFmtId="164" fontId="4" fillId="2" borderId="4" xfId="1" applyNumberFormat="1" applyFont="1" applyFill="1" applyBorder="1" applyAlignment="1">
      <alignment horizontal="right" vertical="center"/>
    </xf>
    <xf numFmtId="170" fontId="4" fillId="2" borderId="0" xfId="1" applyNumberFormat="1" applyFont="1" applyFill="1" applyBorder="1" applyAlignment="1">
      <alignment horizontal="right" vertical="center"/>
    </xf>
    <xf numFmtId="164" fontId="4" fillId="2" borderId="4" xfId="1" applyNumberFormat="1" applyFont="1" applyFill="1" applyBorder="1" applyAlignment="1">
      <alignment vertical="center"/>
    </xf>
    <xf numFmtId="164" fontId="4" fillId="2" borderId="5" xfId="1" applyNumberFormat="1" applyFont="1" applyFill="1" applyBorder="1" applyAlignment="1">
      <alignment vertical="center"/>
    </xf>
    <xf numFmtId="164" fontId="4" fillId="2" borderId="6" xfId="1" applyNumberFormat="1" applyFont="1" applyFill="1" applyBorder="1" applyAlignment="1">
      <alignment horizontal="right" vertical="center"/>
    </xf>
    <xf numFmtId="0" fontId="27" fillId="0" borderId="0" xfId="0" applyFont="1" applyAlignment="1">
      <alignment horizontal="center" vertical="center"/>
    </xf>
    <xf numFmtId="0" fontId="27" fillId="0" borderId="0" xfId="0" applyFont="1" applyAlignment="1">
      <alignment horizontal="center" vertical="center" wrapText="1"/>
    </xf>
    <xf numFmtId="0" fontId="28" fillId="0" borderId="0" xfId="0" applyFont="1" applyAlignment="1">
      <alignment horizontal="center" vertical="center"/>
    </xf>
    <xf numFmtId="0" fontId="29" fillId="0" borderId="0" xfId="3"/>
    <xf numFmtId="0" fontId="29" fillId="0" borderId="0" xfId="3" applyAlignment="1">
      <alignment horizontal="center"/>
    </xf>
    <xf numFmtId="0" fontId="30" fillId="0" borderId="0" xfId="3" applyFont="1" applyAlignment="1">
      <alignment vertical="center"/>
    </xf>
    <xf numFmtId="0" fontId="31" fillId="0" borderId="0" xfId="3" applyFont="1"/>
    <xf numFmtId="0" fontId="30" fillId="0" borderId="0" xfId="3" applyFont="1"/>
    <xf numFmtId="0" fontId="29" fillId="0" borderId="0" xfId="3" applyAlignment="1">
      <alignment horizontal="center" vertical="center"/>
    </xf>
    <xf numFmtId="0" fontId="29" fillId="0" borderId="0" xfId="3" applyAlignment="1">
      <alignment vertical="center"/>
    </xf>
    <xf numFmtId="0" fontId="29" fillId="3" borderId="2" xfId="3" applyFill="1" applyBorder="1" applyAlignment="1">
      <alignment horizontal="left" vertical="center" wrapText="1"/>
    </xf>
    <xf numFmtId="0" fontId="29" fillId="3" borderId="2" xfId="3" applyFill="1" applyBorder="1" applyAlignment="1">
      <alignment horizontal="center" vertical="center" wrapText="1"/>
    </xf>
    <xf numFmtId="0" fontId="29" fillId="3" borderId="6" xfId="3" applyFill="1" applyBorder="1" applyAlignment="1">
      <alignment horizontal="center" vertical="center" wrapText="1"/>
    </xf>
    <xf numFmtId="0" fontId="14" fillId="0" borderId="8" xfId="3" applyFont="1" applyBorder="1" applyAlignment="1">
      <alignment vertical="center"/>
    </xf>
    <xf numFmtId="170" fontId="14" fillId="0" borderId="8" xfId="4" applyNumberFormat="1" applyFont="1" applyBorder="1" applyAlignment="1">
      <alignment horizontal="right" vertical="center"/>
    </xf>
    <xf numFmtId="4" fontId="14" fillId="2" borderId="8" xfId="3" applyNumberFormat="1" applyFont="1" applyFill="1" applyBorder="1" applyAlignment="1">
      <alignment horizontal="right" vertical="center"/>
    </xf>
    <xf numFmtId="4" fontId="14" fillId="0" borderId="8" xfId="3" applyNumberFormat="1" applyFont="1" applyBorder="1" applyAlignment="1">
      <alignment vertical="center"/>
    </xf>
    <xf numFmtId="3" fontId="14" fillId="0" borderId="8" xfId="3" applyNumberFormat="1" applyFont="1" applyBorder="1" applyAlignment="1">
      <alignment vertical="center"/>
    </xf>
    <xf numFmtId="10" fontId="14" fillId="0" borderId="8" xfId="5" applyNumberFormat="1" applyFont="1" applyBorder="1" applyAlignment="1">
      <alignment vertical="center"/>
    </xf>
    <xf numFmtId="0" fontId="14" fillId="0" borderId="8" xfId="3" applyFont="1" applyBorder="1" applyAlignment="1">
      <alignment horizontal="center" vertical="center"/>
    </xf>
    <xf numFmtId="3" fontId="29" fillId="0" borderId="0" xfId="3" applyNumberFormat="1" applyAlignment="1">
      <alignment vertical="center"/>
    </xf>
    <xf numFmtId="170" fontId="29" fillId="0" borderId="0" xfId="4" applyNumberFormat="1" applyFont="1" applyBorder="1" applyAlignment="1">
      <alignment horizontal="center" vertical="center"/>
    </xf>
    <xf numFmtId="170" fontId="16" fillId="0" borderId="0" xfId="4" applyNumberFormat="1" applyFont="1" applyBorder="1" applyAlignment="1">
      <alignment horizontal="center" vertical="center"/>
    </xf>
    <xf numFmtId="0" fontId="14" fillId="0" borderId="0" xfId="3" applyFont="1" applyAlignment="1">
      <alignment vertical="center"/>
    </xf>
    <xf numFmtId="170" fontId="14" fillId="0" borderId="8" xfId="4" applyNumberFormat="1" applyFont="1" applyBorder="1" applyAlignment="1">
      <alignment vertical="center"/>
    </xf>
    <xf numFmtId="172" fontId="29" fillId="0" borderId="0" xfId="3" applyNumberFormat="1"/>
    <xf numFmtId="0" fontId="33" fillId="0" borderId="0" xfId="3" applyFont="1" applyAlignment="1">
      <alignment horizontal="center"/>
    </xf>
    <xf numFmtId="4" fontId="33" fillId="0" borderId="0" xfId="3" applyNumberFormat="1" applyFont="1" applyAlignment="1">
      <alignment horizontal="center"/>
    </xf>
    <xf numFmtId="3" fontId="16" fillId="0" borderId="0" xfId="3" applyNumberFormat="1" applyFont="1" applyAlignment="1">
      <alignment horizontal="center" vertical="center"/>
    </xf>
    <xf numFmtId="171" fontId="29" fillId="0" borderId="0" xfId="3" applyNumberFormat="1" applyAlignment="1">
      <alignment horizontal="center" vertical="center"/>
    </xf>
    <xf numFmtId="0" fontId="25" fillId="0" borderId="0" xfId="0" applyFont="1"/>
    <xf numFmtId="1" fontId="25" fillId="0" borderId="0" xfId="0" applyNumberFormat="1" applyFont="1" applyAlignment="1">
      <alignment horizontal="left"/>
    </xf>
    <xf numFmtId="1" fontId="29" fillId="3" borderId="6" xfId="3" applyNumberFormat="1" applyFill="1" applyBorder="1" applyAlignment="1">
      <alignment horizontal="center" vertical="center" wrapText="1"/>
    </xf>
    <xf numFmtId="3" fontId="14" fillId="0" borderId="8" xfId="0" applyNumberFormat="1" applyFont="1" applyBorder="1" applyAlignment="1">
      <alignment vertical="center"/>
    </xf>
    <xf numFmtId="0" fontId="25" fillId="0" borderId="14" xfId="0" applyFont="1" applyBorder="1"/>
    <xf numFmtId="0" fontId="26" fillId="0" borderId="1" xfId="0" applyFont="1" applyBorder="1" applyAlignment="1">
      <alignment horizontal="center" vertical="center"/>
    </xf>
    <xf numFmtId="0" fontId="26" fillId="0" borderId="2" xfId="0" applyFont="1" applyBorder="1" applyAlignment="1">
      <alignment horizontal="center" vertical="center"/>
    </xf>
    <xf numFmtId="164" fontId="3" fillId="2" borderId="1" xfId="1" applyNumberFormat="1" applyFont="1" applyFill="1" applyBorder="1" applyAlignment="1">
      <alignment horizontal="right" vertical="center"/>
    </xf>
    <xf numFmtId="164" fontId="3" fillId="2" borderId="2" xfId="1" applyNumberFormat="1" applyFont="1" applyFill="1" applyBorder="1" applyAlignment="1">
      <alignment horizontal="right" vertical="center"/>
    </xf>
    <xf numFmtId="164" fontId="3" fillId="2" borderId="3" xfId="1" applyNumberFormat="1" applyFont="1" applyFill="1" applyBorder="1" applyAlignment="1">
      <alignment horizontal="right" vertical="center"/>
    </xf>
    <xf numFmtId="164" fontId="3" fillId="2" borderId="4" xfId="1" applyNumberFormat="1" applyFont="1" applyFill="1" applyBorder="1" applyAlignment="1">
      <alignment horizontal="right" vertical="center"/>
    </xf>
    <xf numFmtId="164" fontId="3" fillId="2" borderId="5" xfId="1" applyNumberFormat="1" applyFont="1" applyFill="1" applyBorder="1" applyAlignment="1">
      <alignment horizontal="right" vertical="center"/>
    </xf>
    <xf numFmtId="164" fontId="3" fillId="2" borderId="6" xfId="1" applyNumberFormat="1" applyFont="1" applyFill="1" applyBorder="1" applyAlignment="1">
      <alignment horizontal="right" vertical="center"/>
    </xf>
    <xf numFmtId="0" fontId="24" fillId="0" borderId="0" xfId="0" applyFont="1" applyAlignment="1">
      <alignment horizontal="center"/>
    </xf>
    <xf numFmtId="0" fontId="29" fillId="3" borderId="2" xfId="0" applyFont="1" applyFill="1" applyBorder="1" applyAlignment="1">
      <alignment horizontal="left" vertical="center" wrapText="1"/>
    </xf>
    <xf numFmtId="0" fontId="29" fillId="3" borderId="2" xfId="0" applyFont="1" applyFill="1" applyBorder="1" applyAlignment="1">
      <alignment horizontal="center" vertical="center" wrapText="1"/>
    </xf>
    <xf numFmtId="0" fontId="14" fillId="0" borderId="0" xfId="0" applyFont="1" applyAlignment="1">
      <alignment horizontal="center" vertical="center"/>
    </xf>
    <xf numFmtId="0" fontId="29" fillId="0" borderId="0" xfId="0" applyFont="1"/>
    <xf numFmtId="0" fontId="17" fillId="0" borderId="0" xfId="0" applyFont="1" applyAlignment="1">
      <alignment horizontal="center"/>
    </xf>
    <xf numFmtId="0" fontId="19" fillId="0" borderId="0" xfId="0" applyFont="1" applyAlignment="1">
      <alignment horizontal="center"/>
    </xf>
    <xf numFmtId="0" fontId="0" fillId="0" borderId="0" xfId="0" applyAlignment="1">
      <alignment vertical="center"/>
    </xf>
    <xf numFmtId="0" fontId="17" fillId="0" borderId="0" xfId="0" applyFont="1"/>
    <xf numFmtId="0" fontId="20" fillId="0" borderId="0" xfId="0" applyFont="1"/>
    <xf numFmtId="0" fontId="35" fillId="0" borderId="0" xfId="0" applyFont="1"/>
    <xf numFmtId="0" fontId="22" fillId="0" borderId="0" xfId="0" applyFont="1"/>
    <xf numFmtId="0" fontId="21" fillId="0" borderId="0" xfId="0" applyFont="1"/>
    <xf numFmtId="0" fontId="7" fillId="0" borderId="0" xfId="0" applyFont="1"/>
    <xf numFmtId="168" fontId="0" fillId="0" borderId="0" xfId="0" applyNumberFormat="1"/>
    <xf numFmtId="0" fontId="17" fillId="0" borderId="15" xfId="0" applyFont="1" applyBorder="1" applyAlignment="1">
      <alignment horizontal="center"/>
    </xf>
    <xf numFmtId="164" fontId="6" fillId="0" borderId="15" xfId="1" applyNumberFormat="1" applyFont="1" applyFill="1" applyBorder="1"/>
    <xf numFmtId="166" fontId="9" fillId="0" borderId="15" xfId="2" applyNumberFormat="1" applyFont="1" applyFill="1" applyBorder="1"/>
    <xf numFmtId="164" fontId="10" fillId="0" borderId="15" xfId="1" applyNumberFormat="1" applyFont="1" applyFill="1" applyBorder="1"/>
    <xf numFmtId="164" fontId="8" fillId="0" borderId="15" xfId="1" applyNumberFormat="1" applyFont="1" applyFill="1" applyBorder="1"/>
    <xf numFmtId="166" fontId="6" fillId="0" borderId="15" xfId="2" applyNumberFormat="1" applyFont="1" applyFill="1" applyBorder="1"/>
    <xf numFmtId="0" fontId="7" fillId="0" borderId="15" xfId="0" applyFont="1" applyBorder="1"/>
    <xf numFmtId="3" fontId="6" fillId="0" borderId="15" xfId="2" applyNumberFormat="1" applyFont="1" applyFill="1" applyBorder="1"/>
    <xf numFmtId="0" fontId="0" fillId="0" borderId="15" xfId="0" applyBorder="1"/>
    <xf numFmtId="166" fontId="11" fillId="0" borderId="15" xfId="0" applyNumberFormat="1" applyFont="1" applyBorder="1"/>
    <xf numFmtId="0" fontId="24" fillId="0" borderId="0" xfId="0" applyFont="1" applyAlignment="1">
      <alignment horizontal="right"/>
    </xf>
    <xf numFmtId="0" fontId="6" fillId="0" borderId="0" xfId="0" applyFont="1"/>
    <xf numFmtId="0" fontId="8" fillId="0" borderId="0" xfId="0" applyFont="1"/>
    <xf numFmtId="0" fontId="17" fillId="0" borderId="9" xfId="0" applyFont="1" applyBorder="1"/>
    <xf numFmtId="0" fontId="19" fillId="0" borderId="9" xfId="0" applyFont="1" applyBorder="1"/>
    <xf numFmtId="165" fontId="17" fillId="0" borderId="18" xfId="1" applyNumberFormat="1" applyFont="1" applyFill="1" applyBorder="1"/>
    <xf numFmtId="167" fontId="17" fillId="0" borderId="18" xfId="0" applyNumberFormat="1" applyFont="1" applyBorder="1"/>
    <xf numFmtId="164" fontId="17" fillId="0" borderId="18" xfId="1" applyNumberFormat="1" applyFont="1" applyFill="1" applyBorder="1"/>
    <xf numFmtId="0" fontId="19" fillId="0" borderId="16" xfId="0" applyFont="1" applyBorder="1"/>
    <xf numFmtId="166" fontId="17" fillId="0" borderId="17" xfId="2" applyNumberFormat="1" applyFont="1" applyFill="1" applyBorder="1"/>
    <xf numFmtId="0" fontId="17" fillId="0" borderId="16" xfId="0" applyFont="1" applyBorder="1"/>
    <xf numFmtId="0" fontId="0" fillId="0" borderId="17" xfId="0" applyBorder="1"/>
    <xf numFmtId="3" fontId="17" fillId="0" borderId="17" xfId="2" applyNumberFormat="1" applyFont="1" applyFill="1" applyBorder="1"/>
    <xf numFmtId="0" fontId="24" fillId="0" borderId="0" xfId="0" applyFont="1" applyAlignment="1">
      <alignment vertical="center" wrapText="1"/>
    </xf>
    <xf numFmtId="0" fontId="24" fillId="0" borderId="0" xfId="0" applyFont="1" applyAlignment="1">
      <alignment horizontal="left" vertical="center" wrapText="1"/>
    </xf>
    <xf numFmtId="0" fontId="34" fillId="0" borderId="0" xfId="0" applyFont="1" applyAlignment="1">
      <alignment horizontal="left" vertical="center"/>
    </xf>
    <xf numFmtId="0" fontId="24" fillId="0" borderId="0" xfId="0" quotePrefix="1" applyFont="1" applyAlignment="1">
      <alignment vertical="center" wrapText="1"/>
    </xf>
    <xf numFmtId="0" fontId="25" fillId="0" borderId="0" xfId="0" quotePrefix="1" applyFont="1" applyAlignment="1">
      <alignment vertical="center" wrapText="1"/>
    </xf>
    <xf numFmtId="0" fontId="25" fillId="0" borderId="0" xfId="0" applyFont="1" applyAlignment="1">
      <alignment horizontal="left" vertical="center" wrapText="1"/>
    </xf>
    <xf numFmtId="0" fontId="24" fillId="0" borderId="0" xfId="0" applyFont="1" applyAlignment="1">
      <alignment wrapText="1"/>
    </xf>
    <xf numFmtId="0" fontId="0" fillId="0" borderId="0" xfId="0" applyAlignment="1">
      <alignment wrapText="1"/>
    </xf>
    <xf numFmtId="0" fontId="34" fillId="0" borderId="0" xfId="0" applyFont="1" applyAlignment="1">
      <alignment horizontal="center" vertical="center"/>
    </xf>
    <xf numFmtId="0" fontId="23" fillId="0" borderId="1" xfId="0" applyFont="1" applyBorder="1" applyAlignment="1">
      <alignment horizontal="center" vertical="center" wrapText="1"/>
    </xf>
    <xf numFmtId="10" fontId="0" fillId="0" borderId="0" xfId="2" applyNumberFormat="1" applyFont="1"/>
    <xf numFmtId="170" fontId="4" fillId="2" borderId="6" xfId="1" applyNumberFormat="1" applyFont="1" applyFill="1" applyBorder="1" applyAlignment="1">
      <alignment horizontal="right" vertical="center"/>
    </xf>
    <xf numFmtId="164" fontId="14" fillId="0" borderId="8" xfId="4" applyNumberFormat="1" applyFont="1" applyBorder="1" applyAlignment="1">
      <alignment horizontal="right" vertical="center"/>
    </xf>
    <xf numFmtId="164" fontId="1" fillId="2" borderId="0" xfId="1" applyNumberFormat="1" applyFont="1" applyFill="1" applyBorder="1" applyAlignment="1">
      <alignment horizontal="right" vertical="center"/>
    </xf>
    <xf numFmtId="164" fontId="1" fillId="0" borderId="0" xfId="1" applyNumberFormat="1" applyFont="1" applyFill="1" applyBorder="1" applyAlignment="1">
      <alignment horizontal="right" vertical="center"/>
    </xf>
    <xf numFmtId="164" fontId="13" fillId="0" borderId="0" xfId="0" applyNumberFormat="1" applyFont="1"/>
    <xf numFmtId="166" fontId="0" fillId="0" borderId="0" xfId="0" applyNumberFormat="1"/>
    <xf numFmtId="0" fontId="12" fillId="0" borderId="0" xfId="0" applyFont="1" applyAlignment="1">
      <alignment horizontal="center"/>
    </xf>
    <xf numFmtId="170" fontId="4" fillId="0" borderId="0" xfId="1" applyNumberFormat="1" applyFont="1" applyFill="1" applyBorder="1" applyAlignment="1">
      <alignment horizontal="right" vertical="center"/>
    </xf>
    <xf numFmtId="170" fontId="4" fillId="2" borderId="13" xfId="1" applyNumberFormat="1" applyFont="1" applyFill="1" applyBorder="1" applyAlignment="1">
      <alignment horizontal="right" vertical="center"/>
    </xf>
    <xf numFmtId="0" fontId="17" fillId="5" borderId="16" xfId="0" applyFont="1" applyFill="1" applyBorder="1"/>
    <xf numFmtId="0" fontId="36" fillId="5" borderId="16" xfId="0" applyFont="1" applyFill="1" applyBorder="1"/>
    <xf numFmtId="3" fontId="37" fillId="5" borderId="17" xfId="0" applyNumberFormat="1" applyFont="1" applyFill="1" applyBorder="1"/>
    <xf numFmtId="0" fontId="0" fillId="5" borderId="15" xfId="0" applyFill="1" applyBorder="1"/>
    <xf numFmtId="0" fontId="24" fillId="0" borderId="0" xfId="0" applyFont="1" applyAlignment="1">
      <alignment horizontal="left" vertical="center" wrapText="1"/>
    </xf>
    <xf numFmtId="0" fontId="25" fillId="0" borderId="0" xfId="0" applyFont="1" applyAlignment="1">
      <alignment horizontal="left" vertical="center" wrapText="1"/>
    </xf>
    <xf numFmtId="0" fontId="32" fillId="4" borderId="10" xfId="3" applyFont="1" applyFill="1" applyBorder="1" applyAlignment="1">
      <alignment horizontal="center" vertical="center"/>
    </xf>
    <xf numFmtId="0" fontId="32" fillId="4" borderId="11" xfId="3" applyFont="1" applyFill="1" applyBorder="1" applyAlignment="1">
      <alignment horizontal="center" vertical="center"/>
    </xf>
    <xf numFmtId="0" fontId="32" fillId="4" borderId="12" xfId="3" applyFont="1" applyFill="1" applyBorder="1" applyAlignment="1">
      <alignment horizontal="center" vertical="center"/>
    </xf>
    <xf numFmtId="0" fontId="29" fillId="4" borderId="11" xfId="3" applyFill="1" applyBorder="1" applyAlignment="1">
      <alignment horizontal="center" vertical="center"/>
    </xf>
    <xf numFmtId="0" fontId="29" fillId="4" borderId="12" xfId="3" applyFill="1" applyBorder="1" applyAlignment="1">
      <alignment horizontal="center" vertical="center"/>
    </xf>
    <xf numFmtId="0" fontId="23" fillId="0" borderId="8"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6" xfId="0" applyFont="1" applyBorder="1" applyAlignment="1">
      <alignment horizontal="center" vertical="center" wrapText="1"/>
    </xf>
  </cellXfs>
  <cellStyles count="48">
    <cellStyle name="Comma 2" xfId="19" xr:uid="{3F4A4F77-266C-4412-BE43-1943A01932A5}"/>
    <cellStyle name="Comma 3" xfId="22" xr:uid="{6DCC63E3-33D0-4B7B-86ED-8DE3C65093F2}"/>
    <cellStyle name="Comma 4" xfId="28" xr:uid="{310F64F6-70EB-4930-84B5-9F22FA24E1DF}"/>
    <cellStyle name="Dezimal 2" xfId="37" xr:uid="{F64240EB-A582-4BD4-86D0-01DB48E383F9}"/>
    <cellStyle name="Hyperlink 2" xfId="26" xr:uid="{319661A4-59AE-4AD2-855F-57118D95A488}"/>
    <cellStyle name="Komma" xfId="1" builtinId="3"/>
    <cellStyle name="Komma 2" xfId="4" xr:uid="{D3D503B4-5B31-414A-BCFF-A51D6CDEFF5D}"/>
    <cellStyle name="Komma 2 2" xfId="17" xr:uid="{900D771B-0507-408F-9DEF-CC459330206B}"/>
    <cellStyle name="Komma 2 3" xfId="10" xr:uid="{79FE9F75-3511-4AAA-86E4-4E9670DEA448}"/>
    <cellStyle name="Komma 3" xfId="13" xr:uid="{1414E6DA-1528-4DED-BBF6-7F0926C2A9E3}"/>
    <cellStyle name="Komma 4" xfId="31" xr:uid="{6D36F601-6000-4068-8605-21D8366512D6}"/>
    <cellStyle name="Komma 5" xfId="8" xr:uid="{32611BC4-7770-4FF8-9BB1-FC6F1E8DC6F2}"/>
    <cellStyle name="Milliers 2" xfId="47" xr:uid="{53ECE9FC-C851-4947-8EBB-2821D1F36E3A}"/>
    <cellStyle name="Normal 2" xfId="18" xr:uid="{5CD7BFBC-14C6-40F2-B2A8-CD5EA02DF43C}"/>
    <cellStyle name="Normal 2 2" xfId="45" xr:uid="{71BB0F18-A748-4F95-8713-709DA0E46C2B}"/>
    <cellStyle name="Normal 3" xfId="21" xr:uid="{037EA2F2-54EF-45CD-9D12-122516B2A289}"/>
    <cellStyle name="Normal 4" xfId="24" xr:uid="{08F4C5B2-4A18-4DEC-85EA-A2678304DD6F}"/>
    <cellStyle name="Normal 5" xfId="25" xr:uid="{D60A2C8E-CE17-4573-A29E-E82A7E63B9D4}"/>
    <cellStyle name="Percent 2" xfId="20" xr:uid="{65C76003-8C2C-416E-91BD-2027A2778C99}"/>
    <cellStyle name="Percent 3" xfId="23" xr:uid="{58A9F850-BB50-4B23-952E-5C1502F3B80D}"/>
    <cellStyle name="Percent 4" xfId="27" xr:uid="{6A6CA82B-030A-4A69-94F0-8371102AB88D}"/>
    <cellStyle name="Pourcentage 2" xfId="46" xr:uid="{F9A5563A-6D84-44E6-B2F2-645014163FD4}"/>
    <cellStyle name="Prozent" xfId="2" builtinId="5"/>
    <cellStyle name="Prozent 2" xfId="5" xr:uid="{F037CB44-107F-44F3-9145-B18DACE9C3EF}"/>
    <cellStyle name="Prozent 2 2" xfId="16" xr:uid="{F1320E19-22B9-441B-A5F3-E8C1CD2348BC}"/>
    <cellStyle name="Prozent 2 3" xfId="35" xr:uid="{A7694529-AF33-4D38-A3B3-2C362F4344C1}"/>
    <cellStyle name="Prozent 2 4" xfId="11" xr:uid="{5C8DE8C6-6C60-43E6-8AFE-42478F8AD341}"/>
    <cellStyle name="Prozent 3" xfId="14" xr:uid="{9356BB19-1FB8-44AD-A99B-7039B22C0292}"/>
    <cellStyle name="Prozent 3 2" xfId="38" xr:uid="{B5502FB4-5F4E-4655-8A68-B78844A2AEA5}"/>
    <cellStyle name="Prozent 4" xfId="40" xr:uid="{9A3459FC-8AC1-4608-8B34-537ADC4C9668}"/>
    <cellStyle name="Prozent 5" xfId="32" xr:uid="{1056563F-AE8B-478A-A542-1D56BF6C6557}"/>
    <cellStyle name="Standard" xfId="0" builtinId="0"/>
    <cellStyle name="Standard 11" xfId="44" xr:uid="{4E0A933B-04F6-42AD-80B1-6FD1D5195674}"/>
    <cellStyle name="Standard 2" xfId="3" xr:uid="{0813247D-EB1B-4A01-BD46-95BA177F2CFF}"/>
    <cellStyle name="Standard 2 2" xfId="7" xr:uid="{289A4DA1-42AD-4E6A-A8EC-81FD1F1CE661}"/>
    <cellStyle name="Standard 2 3" xfId="29" xr:uid="{1B072444-BADB-4DAB-8C24-64CA237FD9A3}"/>
    <cellStyle name="Standard 2 4" xfId="33" xr:uid="{C2CD97C6-AD95-44AB-AC11-4023D1F834A9}"/>
    <cellStyle name="Standard 2 5" xfId="6" xr:uid="{9807DCFD-510A-4067-9531-B7FF3A3FBCF3}"/>
    <cellStyle name="Standard 3" xfId="9" xr:uid="{CFE9E0CA-936B-4D3A-9070-AB4712C78D75}"/>
    <cellStyle name="Standard 3 2" xfId="15" xr:uid="{27C8CAD1-3271-4054-9E8B-75737A14CE68}"/>
    <cellStyle name="Standard 3 2 2" xfId="41" xr:uid="{4D0CE862-2767-429E-A9AB-2267E975040F}"/>
    <cellStyle name="Standard 3 3" xfId="34" xr:uid="{826F4635-5DA8-4D2E-8405-1A25989A6A13}"/>
    <cellStyle name="Standard 4" xfId="12" xr:uid="{76018A39-13DA-481C-A8DC-C94CBA2EA890}"/>
    <cellStyle name="Standard 4 2" xfId="43" xr:uid="{BD55C6DD-67BE-4478-8D7A-15D8FD76751D}"/>
    <cellStyle name="Standard 4 3" xfId="36" xr:uid="{CF168866-A31E-4F9F-A78A-5F6098306EE6}"/>
    <cellStyle name="Standard 5" xfId="39" xr:uid="{DEAF6852-D13D-47B1-83B4-B0B88E25B700}"/>
    <cellStyle name="Standard 6" xfId="42" xr:uid="{252765FB-5041-4046-B4BD-022EDC4D8784}"/>
    <cellStyle name="Standard 7" xfId="30" xr:uid="{8613D589-CBDF-4909-9365-E0949D66CFD2}"/>
  </cellStyles>
  <dxfs count="9">
    <dxf>
      <font>
        <color rgb="FF7030A0"/>
      </font>
    </dxf>
    <dxf>
      <font>
        <color rgb="FFFF0000"/>
      </font>
    </dxf>
    <dxf>
      <font>
        <color theme="2" tint="-0.499984740745262"/>
      </font>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bgColor theme="4" tint="0.79995117038483843"/>
        </patternFill>
      </fill>
    </dxf>
    <dxf>
      <fill>
        <patternFill patternType="solid">
          <fgColor theme="4" tint="0.79995117038483843"/>
          <bgColor theme="4" tint="0.79995117038483843"/>
        </patternFill>
      </fill>
      <border>
        <top/>
      </border>
    </dxf>
    <dxf>
      <fill>
        <patternFill patternType="solid">
          <fgColor theme="4" tint="0.79995117038483843"/>
          <bgColor theme="4" tint="0.79995117038483843"/>
        </patternFill>
      </fill>
      <border>
        <bottom/>
      </border>
    </dxf>
  </dxfs>
  <tableStyles count="1" defaultTableStyle="TableStyleMedium2" defaultPivotStyle="PivotStyleLight16">
    <tableStyle name="Vereinfachtes Pivotformat" table="0" count="3" xr9:uid="{C7B22A77-CC49-4A53-9189-75398EE48CF5}">
      <tableStyleElement type="headerRow" dxfId="8"/>
      <tableStyleElement type="totalRow" dxfId="7"/>
      <tableStyleElement type="secondRowStripe" dxfId="6"/>
    </tableStyle>
  </tableStyles>
  <colors>
    <mruColors>
      <color rgb="FFCCFFCC"/>
      <color rgb="FFFCB6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45720</xdr:colOff>
      <xdr:row>0</xdr:row>
      <xdr:rowOff>53340</xdr:rowOff>
    </xdr:from>
    <xdr:to>
      <xdr:col>1</xdr:col>
      <xdr:colOff>478328</xdr:colOff>
      <xdr:row>3</xdr:row>
      <xdr:rowOff>137160</xdr:rowOff>
    </xdr:to>
    <xdr:pic>
      <xdr:nvPicPr>
        <xdr:cNvPr id="2" name="Grafik 2" descr="CDBund-\\vi00005a\BAG-Templates$\BITVM\Version_5.4.0.0\TechnicalFiles\Logo_Files\Logo_rot.gif">
          <a:extLst>
            <a:ext uri="{FF2B5EF4-FFF2-40B4-BE49-F238E27FC236}">
              <a16:creationId xmlns:a16="http://schemas.microsoft.com/office/drawing/2014/main" id="{E35B66CD-788E-4E15-8DC4-C9AD025B03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53340"/>
          <a:ext cx="2026458" cy="62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0</xdr:row>
      <xdr:rowOff>103910</xdr:rowOff>
    </xdr:from>
    <xdr:to>
      <xdr:col>13</xdr:col>
      <xdr:colOff>410607</xdr:colOff>
      <xdr:row>3</xdr:row>
      <xdr:rowOff>187730</xdr:rowOff>
    </xdr:to>
    <xdr:pic>
      <xdr:nvPicPr>
        <xdr:cNvPr id="3" name="Grafik 2" descr="CDBund-\\vi00005a\BAG-Templates$\BITVM\Version_5.4.0.0\TechnicalFiles\Logo_Files\Logo_rot.gif">
          <a:extLst>
            <a:ext uri="{FF2B5EF4-FFF2-40B4-BE49-F238E27FC236}">
              <a16:creationId xmlns:a16="http://schemas.microsoft.com/office/drawing/2014/main" id="{3F2C8C9A-62DF-4E93-9830-1EAF395B5F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32591" y="103910"/>
          <a:ext cx="2033385" cy="62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45720</xdr:colOff>
      <xdr:row>0</xdr:row>
      <xdr:rowOff>53340</xdr:rowOff>
    </xdr:from>
    <xdr:to>
      <xdr:col>1</xdr:col>
      <xdr:colOff>626745</xdr:colOff>
      <xdr:row>3</xdr:row>
      <xdr:rowOff>137160</xdr:rowOff>
    </xdr:to>
    <xdr:pic>
      <xdr:nvPicPr>
        <xdr:cNvPr id="2" name="Grafik 2" descr="CDBund-\\vi00005a\BAG-Templates$\BITVM\Version_5.4.0.0\TechnicalFiles\Logo_Files\Logo_rot.gif">
          <a:extLst>
            <a:ext uri="{FF2B5EF4-FFF2-40B4-BE49-F238E27FC236}">
              <a16:creationId xmlns:a16="http://schemas.microsoft.com/office/drawing/2014/main" id="{636150BE-5BB7-46D1-B7BF-6C370446C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53340"/>
          <a:ext cx="1993900" cy="62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DF9570B-48E8-46AE-9B6B-40BFCFD53CFE}" name="Auswahl" displayName="Auswahl" ref="J14:J16" totalsRowShown="0" headerRowDxfId="5" dataDxfId="4">
  <autoFilter ref="J14:J16" xr:uid="{7DF9570B-48E8-46AE-9B6B-40BFCFD53CFE}"/>
  <tableColumns count="1">
    <tableColumn id="1" xr3:uid="{C2C8434F-9ED7-48BF-96CD-39518C805DB2}" name="Auswahl" dataDxfId="3"/>
  </tableColumns>
  <tableStyleInfo name="TableStyleMedium9"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customProperty" Target="../customProperty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8F04E-3656-4F55-90E0-8871CDD7759F}">
  <dimension ref="A1:E94"/>
  <sheetViews>
    <sheetView showGridLines="0" topLeftCell="B1" zoomScale="90" zoomScaleNormal="90" workbookViewId="0">
      <selection activeCell="C26" sqref="C26"/>
    </sheetView>
  </sheetViews>
  <sheetFormatPr baseColWidth="10" defaultColWidth="9.140625" defaultRowHeight="15"/>
  <cols>
    <col min="1" max="1" width="20.7109375" bestFit="1" customWidth="1"/>
    <col min="2" max="3" width="93.85546875" bestFit="1" customWidth="1"/>
    <col min="4" max="4" width="93.140625" bestFit="1" customWidth="1"/>
    <col min="5" max="5" width="9.140625" hidden="1" customWidth="1"/>
  </cols>
  <sheetData>
    <row r="1" spans="1:5" s="9" customFormat="1">
      <c r="A1" s="9" t="s">
        <v>64</v>
      </c>
      <c r="B1" s="9" t="str">
        <f>+IF(Einleitung!J5="d","Gewählte Übersetzung",IF(Einleitung!J5="f","Traduction choisie"))</f>
        <v>Traduction choisie</v>
      </c>
      <c r="C1" s="9" t="s">
        <v>113</v>
      </c>
      <c r="D1" s="9" t="s">
        <v>114</v>
      </c>
    </row>
    <row r="2" spans="1:5" s="9" customFormat="1">
      <c r="A2" t="s">
        <v>162</v>
      </c>
      <c r="B2" t="str">
        <f>+IF(Einleitung!$J$5="d",C2,IF(Einleitung!$J$5="f",D2))</f>
        <v>Introduction</v>
      </c>
      <c r="C2" t="s">
        <v>162</v>
      </c>
      <c r="D2" t="s">
        <v>166</v>
      </c>
    </row>
    <row r="3" spans="1:5" s="9" customFormat="1">
      <c r="A3" t="s">
        <v>162</v>
      </c>
      <c r="B3" t="str">
        <f>+IF(Einleitung!$J$5="d",C3,IF(Einleitung!$J$5="f",D3))</f>
        <v>État au</v>
      </c>
      <c r="C3" t="s">
        <v>163</v>
      </c>
      <c r="D3" t="s">
        <v>164</v>
      </c>
    </row>
    <row r="4" spans="1:5" s="9" customFormat="1" ht="14.45" customHeight="1">
      <c r="A4" t="s">
        <v>162</v>
      </c>
      <c r="B4" t="str">
        <f>+IF(Einleitung!$J$5="d",C4,IF(Einleitung!$J$5="f",D4))</f>
        <v>Ce fichier contient les calculs de la contribution fédérale et de sa répartition entre les cantons (art. 17 ss. ORPM) ainsi que les contributions minimales des cantons à la réduction des primes en 2026 (art. 6 ORPM).</v>
      </c>
      <c r="C4" t="s">
        <v>192</v>
      </c>
      <c r="D4" t="s">
        <v>193</v>
      </c>
    </row>
    <row r="5" spans="1:5" s="9" customFormat="1" ht="14.45" customHeight="1">
      <c r="A5" t="s">
        <v>162</v>
      </c>
      <c r="B5" t="str">
        <f>+IF(Einleitung!$J$5="d",C5,IF(Einleitung!$J$5="f",D5))</f>
        <v>Les calculs des contributions minimales des cantons sont présentés dans ce tableau. Les cellules sont remplies avec des formules. La base de ces calculs se trouve dans les tableaux de revenus et des données statistiques.</v>
      </c>
      <c r="C5" s="124" t="s">
        <v>194</v>
      </c>
      <c r="D5" t="s">
        <v>195</v>
      </c>
    </row>
    <row r="6" spans="1:5" s="9" customFormat="1" ht="14.45" customHeight="1">
      <c r="A6" t="s">
        <v>162</v>
      </c>
      <c r="B6" t="str">
        <f>+IF(Einleitung!$J$5="d",C6,IF(Einleitung!$J$5="f",D6))</f>
        <v xml:space="preserve">Le tableau de données statistiques contient les informations des statistiques de l'AOS ainsi que les estimations nécessaires au calcul pour l'année d'exécution.
</v>
      </c>
      <c r="C6" s="124" t="s">
        <v>198</v>
      </c>
      <c r="D6" s="124" t="s">
        <v>199</v>
      </c>
    </row>
    <row r="7" spans="1:5" s="9" customFormat="1" ht="14.45" customHeight="1">
      <c r="A7" t="s">
        <v>162</v>
      </c>
      <c r="B7" t="str">
        <f>+IF(Einleitung!$J$5="d",C7,IF(Einleitung!$J$5="f",D7))</f>
        <v xml:space="preserve">Le tableau des données sur les revenus contient le nombre et la prime à recevoir des contribuables, le revenu imposable total et la prime à recevoir des 40 % des assurés ayant les revenus les plus bas. </v>
      </c>
      <c r="C7" t="s">
        <v>200</v>
      </c>
      <c r="D7" t="s">
        <v>201</v>
      </c>
    </row>
    <row r="8" spans="1:5" s="9" customFormat="1" ht="14.45" customHeight="1">
      <c r="A8" t="s">
        <v>162</v>
      </c>
      <c r="B8" t="str">
        <f>+IF(Einleitung!$J$5="d",C8,IF(Einleitung!$J$5="f",D8))</f>
        <v>Le tableau contient le calcul de la contribution fédérale 2026 (art. 17 ss. P-ORPM)</v>
      </c>
      <c r="C8" t="str">
        <f>"Die Tabelle enthält die Berechnung des Bundesbeitrags "&amp;Mindestbeiträge!B2&amp;" (Art. 17ff. VPVK)."</f>
        <v>Die Tabelle enthält die Berechnung des Bundesbeitrags 2026 (Art. 17ff. VPVK).</v>
      </c>
      <c r="D8" t="str">
        <f>"Le tableau contient le calcul de la contribution fédérale "&amp;Mindestbeiträge!B2&amp;" (art. 17 ss. P-ORPM)"</f>
        <v>Le tableau contient le calcul de la contribution fédérale 2026 (art. 17 ss. P-ORPM)</v>
      </c>
    </row>
    <row r="9" spans="1:5" s="9" customFormat="1">
      <c r="A9" t="s">
        <v>162</v>
      </c>
      <c r="B9" t="str">
        <f>+IF(Einleitung!$J$5="d",C9,IF(Einleitung!$J$5="f",D9))</f>
        <v>Ce tableau montre la répartition de la contribution fédérale entre les cantons (art. 18 ORPM).</v>
      </c>
      <c r="C9" t="s">
        <v>180</v>
      </c>
      <c r="D9" t="s">
        <v>181</v>
      </c>
    </row>
    <row r="10" spans="1:5" s="9" customFormat="1" ht="14.45" customHeight="1">
      <c r="A10" t="s">
        <v>162</v>
      </c>
      <c r="B10" t="str">
        <f>+IF(Einleitung!$J$5="d",C10,IF(Einleitung!$J$5="f",D10))</f>
        <v>La contribution fédérale sera versée en trois tranches au cours de l'année d'exécution (art. 19 ORPM). Ce tableau présente les trois tranches par canton.</v>
      </c>
      <c r="C10" t="s">
        <v>182</v>
      </c>
      <c r="D10" t="s">
        <v>183</v>
      </c>
    </row>
    <row r="11" spans="1:5" s="9" customFormat="1">
      <c r="C11"/>
    </row>
    <row r="12" spans="1:5" s="9" customFormat="1">
      <c r="A12" t="s">
        <v>196</v>
      </c>
      <c r="B12" t="str">
        <f>+IF(Einleitung!$J$5="d",C12,IF(Einleitung!$J$5="f",D12))</f>
        <v xml:space="preserve">Année d’exécution </v>
      </c>
      <c r="C12" t="s">
        <v>159</v>
      </c>
      <c r="D12" t="s">
        <v>160</v>
      </c>
      <c r="E12" t="s">
        <v>157</v>
      </c>
    </row>
    <row r="13" spans="1:5">
      <c r="A13" t="s">
        <v>196</v>
      </c>
      <c r="B13" t="str">
        <f>+IF(Einleitung!$J$5="d",C13,IF(Einleitung!$J$5="f",D13))</f>
        <v>Nombre de contribuables (AFC):</v>
      </c>
      <c r="C13" t="s">
        <v>2</v>
      </c>
      <c r="D13" t="s">
        <v>65</v>
      </c>
    </row>
    <row r="14" spans="1:5">
      <c r="A14" t="s">
        <v>196</v>
      </c>
      <c r="B14" t="str">
        <f>+IF(Einleitung!$J$5="d",C14,IF(Einleitung!$J$5="f",D14))</f>
        <v>Effectif des assurés (STAT AOS):</v>
      </c>
      <c r="C14" t="s">
        <v>3</v>
      </c>
      <c r="D14" t="s">
        <v>66</v>
      </c>
    </row>
    <row r="15" spans="1:5">
      <c r="A15" t="s">
        <v>196</v>
      </c>
      <c r="B15" t="str">
        <f>+IF(Einleitung!$J$5="d",C15,IF(Einleitung!$J$5="f",D15))</f>
        <v>Facteur d'échelle pour les revenus</v>
      </c>
      <c r="C15" t="s">
        <v>4</v>
      </c>
      <c r="D15" t="s">
        <v>61</v>
      </c>
    </row>
    <row r="16" spans="1:5">
      <c r="A16" t="s">
        <v>196</v>
      </c>
      <c r="B16" t="str">
        <f>+IF(Einleitung!$J$5="d",C16,IF(Einleitung!$J$5="f",D16))</f>
        <v>Primes à recevoir des contribuables (AFC)</v>
      </c>
      <c r="C16" t="s">
        <v>5</v>
      </c>
      <c r="D16" t="s">
        <v>62</v>
      </c>
    </row>
    <row r="17" spans="1:4">
      <c r="A17" t="s">
        <v>196</v>
      </c>
      <c r="B17" t="str">
        <f>+IF(Einleitung!$J$5="d",C17,IF(Einleitung!$J$5="f",D17))</f>
        <v>Primes à recevoir de tous les assurés (STAT AOS)</v>
      </c>
      <c r="C17" t="s">
        <v>70</v>
      </c>
      <c r="D17" t="s">
        <v>72</v>
      </c>
    </row>
    <row r="18" spans="1:4">
      <c r="A18" t="s">
        <v>196</v>
      </c>
      <c r="B18" t="str">
        <f>+IF(Einleitung!$J$5="d",C18,IF(Einleitung!$J$5="f",D18))</f>
        <v>Facteur d'échelle pour les primes à recevoir</v>
      </c>
      <c r="C18" t="s">
        <v>6</v>
      </c>
      <c r="D18" t="s">
        <v>63</v>
      </c>
    </row>
    <row r="19" spans="1:4">
      <c r="A19" t="s">
        <v>196</v>
      </c>
      <c r="B19" t="str">
        <f>+IF(Einleitung!$J$5="d",C19,IF(Einleitung!$J$5="f",D19))</f>
        <v>Somme des revenus imposables des 40 % des contribuables aux revenus les plus faibles</v>
      </c>
      <c r="C19" t="s">
        <v>7</v>
      </c>
      <c r="D19" t="s">
        <v>67</v>
      </c>
    </row>
    <row r="20" spans="1:4">
      <c r="A20" t="s">
        <v>196</v>
      </c>
      <c r="B20" t="str">
        <f>+IF(Einleitung!$J$5="d",C20,IF(Einleitung!$J$5="f",D20))</f>
        <v>Revenus, mis à l'échelle, des 40 % des assurés aux revenus les plus faibles</v>
      </c>
      <c r="C20" t="s">
        <v>8</v>
      </c>
      <c r="D20" t="s">
        <v>68</v>
      </c>
    </row>
    <row r="21" spans="1:4">
      <c r="A21" t="s">
        <v>196</v>
      </c>
      <c r="B21" t="str">
        <f>+IF(Einleitung!$J$5="d",C21,IF(Einleitung!$J$5="f",D21))</f>
        <v>Primes à recevoir des 40 % des assurés aux revenus les plus faibles</v>
      </c>
      <c r="C21" t="s">
        <v>45</v>
      </c>
      <c r="D21" t="s">
        <v>71</v>
      </c>
    </row>
    <row r="22" spans="1:4">
      <c r="A22" t="s">
        <v>196</v>
      </c>
      <c r="B22" t="str">
        <f>+IF(Einleitung!$J$5="d",C22,IF(Einleitung!$J$5="f",D22))</f>
        <v>Primes à recevoir, mises à l'échelle, des 40 % des assurés aux revenus les plus faibles</v>
      </c>
      <c r="C22" t="s">
        <v>9</v>
      </c>
      <c r="D22" t="s">
        <v>69</v>
      </c>
    </row>
    <row r="23" spans="1:4">
      <c r="A23" t="s">
        <v>196</v>
      </c>
      <c r="B23" t="str">
        <f>+IF(Einleitung!$J$5="d",C23,IF(Einleitung!$J$5="f",D23))</f>
        <v>Somme des contributions fédérales à la RIP</v>
      </c>
      <c r="C23" t="s">
        <v>74</v>
      </c>
      <c r="D23" t="s">
        <v>76</v>
      </c>
    </row>
    <row r="24" spans="1:4">
      <c r="A24" t="s">
        <v>196</v>
      </c>
      <c r="B24" t="str">
        <f>+IF(Einleitung!$J$5="d",C24,IF(Einleitung!$J$5="f",D24))</f>
        <v>Somme des contributions cantonales à la RIP</v>
      </c>
      <c r="C24" t="s">
        <v>75</v>
      </c>
      <c r="D24" t="s">
        <v>77</v>
      </c>
    </row>
    <row r="25" spans="1:4">
      <c r="A25" t="s">
        <v>196</v>
      </c>
      <c r="B25" t="str">
        <f>+IF(Einleitung!$J$5="d",C25,IF(Einleitung!$J$5="f",D25))</f>
        <v>Somme des dernières contributions cantonales à la RIP disponibles</v>
      </c>
      <c r="C25" t="s">
        <v>10</v>
      </c>
      <c r="D25" t="s">
        <v>78</v>
      </c>
    </row>
    <row r="26" spans="1:4">
      <c r="A26" t="s">
        <v>196</v>
      </c>
      <c r="B26" t="str">
        <f>+IF(Einleitung!$J$5="d",C26,IF(Einleitung!$J$5="f",D26))</f>
        <v>Somme des contributions cantonales et fédérales à la RIP</v>
      </c>
      <c r="C26" t="s">
        <v>80</v>
      </c>
      <c r="D26" t="s">
        <v>79</v>
      </c>
    </row>
    <row r="27" spans="1:4">
      <c r="A27" t="s">
        <v>196</v>
      </c>
      <c r="B27" t="str">
        <f>+IF(Einleitung!$J$5="d",C27,IF(Einleitung!$J$5="f",D27))</f>
        <v>Charge des primes supportée par la proportion de 40 % des assurés aux revenus les plus faibles</v>
      </c>
      <c r="C27" t="s">
        <v>81</v>
      </c>
      <c r="D27" t="s">
        <v>73</v>
      </c>
    </row>
    <row r="28" spans="1:4">
      <c r="A28" t="s">
        <v>196</v>
      </c>
      <c r="B28" t="str">
        <f>+IF(Einleitung!$J$5="d",C28,IF(Einleitung!$J$5="f",D28))</f>
        <v>Coûts bruts cantonaux estimés</v>
      </c>
      <c r="C28" t="s">
        <v>11</v>
      </c>
      <c r="D28" t="s">
        <v>82</v>
      </c>
    </row>
    <row r="29" spans="1:4">
      <c r="A29" t="s">
        <v>196</v>
      </c>
      <c r="B29" t="str">
        <f>+IF(Einleitung!$J$5="d",C29,IF(Einleitung!$J$5="f",D29))</f>
        <v>Pourcentage minimal du canton (indicatif) (Art. 65 al. 1quater ss. LAMal)</v>
      </c>
      <c r="C29" t="s">
        <v>205</v>
      </c>
      <c r="D29" t="s">
        <v>206</v>
      </c>
    </row>
    <row r="30" spans="1:4">
      <c r="A30" t="s">
        <v>196</v>
      </c>
      <c r="B30" t="str">
        <f>+IF(Einleitung!$J$5="d",C30,IF(Einleitung!$J$5="f",D30))</f>
        <v>Contribution minimal du canton en francs (indicatif) (Art. 65 al. 1quater ss. LAMal)</v>
      </c>
      <c r="C30" t="s">
        <v>207</v>
      </c>
      <c r="D30" t="s">
        <v>208</v>
      </c>
    </row>
    <row r="31" spans="1:4">
      <c r="A31" t="s">
        <v>196</v>
      </c>
      <c r="B31" t="str">
        <f>+IF(Einleitung!$J$5="d",C31,IF(Einleitung!$J$5="f",D31))</f>
        <v>Pourcentage minimal du canton (Disposition transitoire, par. 1)</v>
      </c>
      <c r="C31" t="s">
        <v>12</v>
      </c>
      <c r="D31" t="s">
        <v>83</v>
      </c>
    </row>
    <row r="32" spans="1:4">
      <c r="A32" t="s">
        <v>196</v>
      </c>
      <c r="B32" t="str">
        <f>+IF(Einleitung!$J$5="d",C32,IF(Einleitung!$J$5="f",D32))</f>
        <v>Contribution minimal du canton en francs (Disposition transitoire, par. 1)</v>
      </c>
      <c r="C32" t="s">
        <v>13</v>
      </c>
      <c r="D32" t="s">
        <v>161</v>
      </c>
    </row>
    <row r="34" spans="1:4">
      <c r="A34" t="s">
        <v>84</v>
      </c>
      <c r="B34" t="str">
        <f>+IF(Einleitung!$J$5="d",C34,IF(Einleitung!$J$5="f",D34))</f>
        <v>Canton</v>
      </c>
      <c r="C34" t="s">
        <v>0</v>
      </c>
      <c r="D34" t="s">
        <v>85</v>
      </c>
    </row>
    <row r="35" spans="1:4">
      <c r="A35" t="s">
        <v>84</v>
      </c>
      <c r="B35" t="str">
        <f>+IF(Einleitung!$J$5="d",C35,IF(Einleitung!$J$5="f",D35))</f>
        <v>Stat AOS (T 7.14)</v>
      </c>
      <c r="C35" t="s">
        <v>43</v>
      </c>
      <c r="D35" t="s">
        <v>86</v>
      </c>
    </row>
    <row r="36" spans="1:4">
      <c r="A36" t="s">
        <v>84</v>
      </c>
      <c r="B36" t="str">
        <f>+IF(Einleitung!$J$5="d",C36,IF(Einleitung!$J$5="f",D36))</f>
        <v>Stat AOS (T 3.06)</v>
      </c>
      <c r="C36" t="s">
        <v>172</v>
      </c>
      <c r="D36" t="s">
        <v>173</v>
      </c>
    </row>
    <row r="37" spans="1:4">
      <c r="A37" t="s">
        <v>84</v>
      </c>
      <c r="B37" t="str">
        <f>+IF(Einleitung!$J$5="d",C37,IF(Einleitung!$J$5="f",D37))</f>
        <v>Stat AOS (T 2.10)</v>
      </c>
      <c r="C37" t="s">
        <v>174</v>
      </c>
      <c r="D37" t="s">
        <v>175</v>
      </c>
    </row>
    <row r="38" spans="1:4">
      <c r="A38" t="s">
        <v>84</v>
      </c>
      <c r="B38" t="str">
        <f>+IF(Einleitung!$J$5="d",C38,IF(Einleitung!$J$5="f",D38))</f>
        <v>Stat AOS (T 3.04)</v>
      </c>
      <c r="C38" t="s">
        <v>178</v>
      </c>
      <c r="D38" t="s">
        <v>179</v>
      </c>
    </row>
    <row r="39" spans="1:4">
      <c r="A39" t="s">
        <v>84</v>
      </c>
      <c r="B39" t="str">
        <f>+IF(Einleitung!$J$5="d",C39,IF(Einleitung!$J$5="f",D39))</f>
        <v>PG Hochrechnung Août</v>
      </c>
      <c r="C39" t="s">
        <v>88</v>
      </c>
      <c r="D39" t="s">
        <v>90</v>
      </c>
    </row>
    <row r="40" spans="1:4">
      <c r="A40" t="s">
        <v>84</v>
      </c>
      <c r="B40" t="str">
        <f>+IF(Einleitung!$J$5="d",C40,IF(Einleitung!$J$5="f",D40))</f>
        <v>calculé</v>
      </c>
      <c r="C40" t="s">
        <v>46</v>
      </c>
      <c r="D40" t="s">
        <v>112</v>
      </c>
    </row>
    <row r="41" spans="1:4">
      <c r="A41" t="s">
        <v>84</v>
      </c>
      <c r="B41" t="str">
        <f>+IF(Einleitung!$J$5="d",C41,IF(Einleitung!$J$5="f",D41))</f>
        <v>Calcul définitif de la contribution fédérale</v>
      </c>
      <c r="C41" t="s">
        <v>89</v>
      </c>
      <c r="D41" t="s">
        <v>91</v>
      </c>
    </row>
    <row r="42" spans="1:4">
      <c r="A42" t="s">
        <v>84</v>
      </c>
      <c r="B42" t="str">
        <f>+IF(Einleitung!$J$5="d",C42,IF(Einleitung!$J$5="f",D42))</f>
        <v>Stat AOS (T 4.07)</v>
      </c>
      <c r="C42" t="s">
        <v>44</v>
      </c>
      <c r="D42" t="s">
        <v>87</v>
      </c>
    </row>
    <row r="43" spans="1:4">
      <c r="A43" t="s">
        <v>84</v>
      </c>
      <c r="B43" t="str">
        <f>+IF(Einleitung!$J$5="d",C43,IF(Einleitung!$J$5="f",D43))</f>
        <v>Effectif des assurés</v>
      </c>
      <c r="C43" t="s">
        <v>92</v>
      </c>
      <c r="D43" t="s">
        <v>101</v>
      </c>
    </row>
    <row r="44" spans="1:4">
      <c r="A44" t="s">
        <v>84</v>
      </c>
      <c r="B44" t="str">
        <f>+IF(Einleitung!$J$5="d",C44,IF(Einleitung!$J$5="f",D44))</f>
        <v>Effectif des assurés (provisoire)</v>
      </c>
      <c r="C44" t="s">
        <v>93</v>
      </c>
      <c r="D44" t="s">
        <v>102</v>
      </c>
    </row>
    <row r="45" spans="1:4">
      <c r="A45" t="s">
        <v>84</v>
      </c>
      <c r="B45" t="str">
        <f>+IF(Einleitung!$J$5="d",C45,IF(Einleitung!$J$5="f",D45))</f>
        <v>Primes à recevoir</v>
      </c>
      <c r="C45" t="s">
        <v>94</v>
      </c>
      <c r="D45" t="s">
        <v>103</v>
      </c>
    </row>
    <row r="46" spans="1:4">
      <c r="A46" t="s">
        <v>84</v>
      </c>
      <c r="B46" t="str">
        <f>+IF(Einleitung!$J$5="d",C46,IF(Einleitung!$J$5="f",D46))</f>
        <v>Participation aux coûts</v>
      </c>
      <c r="C46" t="s">
        <v>176</v>
      </c>
      <c r="D46" t="s">
        <v>177</v>
      </c>
    </row>
    <row r="47" spans="1:4">
      <c r="A47" t="s">
        <v>84</v>
      </c>
      <c r="B47" t="str">
        <f>+IF(Einleitung!$J$5="d",C47,IF(Einleitung!$J$5="f",D47))</f>
        <v>Réduction des primes</v>
      </c>
      <c r="C47" t="s">
        <v>95</v>
      </c>
      <c r="D47" t="s">
        <v>104</v>
      </c>
    </row>
    <row r="48" spans="1:4">
      <c r="A48" t="s">
        <v>84</v>
      </c>
      <c r="B48" t="str">
        <f>+IF(Einleitung!$J$5="d",C48,IF(Einleitung!$J$5="f",D48))</f>
        <v>Confédération</v>
      </c>
      <c r="C48" t="s">
        <v>40</v>
      </c>
      <c r="D48" t="s">
        <v>105</v>
      </c>
    </row>
    <row r="49" spans="1:4">
      <c r="A49" t="s">
        <v>84</v>
      </c>
      <c r="B49" t="str">
        <f>+IF(Einleitung!$J$5="d",C49,IF(Einleitung!$J$5="f",D49))</f>
        <v>Toutes classes d'âges</v>
      </c>
      <c r="C49" t="s">
        <v>41</v>
      </c>
      <c r="D49" t="s">
        <v>106</v>
      </c>
    </row>
    <row r="50" spans="1:4">
      <c r="A50" t="s">
        <v>84</v>
      </c>
      <c r="B50" t="str">
        <f>+IF(Einleitung!$J$5="d",C50,IF(Einleitung!$J$5="f",D50))</f>
        <v xml:space="preserve">Primes moyennes (mensuelles) </v>
      </c>
      <c r="C50" t="s">
        <v>170</v>
      </c>
      <c r="D50" t="s">
        <v>168</v>
      </c>
    </row>
    <row r="51" spans="1:4">
      <c r="A51" t="s">
        <v>84</v>
      </c>
      <c r="B51" t="str">
        <f>+IF(Einleitung!$J$5="d",C51,IF(Einleitung!$J$5="f",D51))</f>
        <v xml:space="preserve">Primes moyennes </v>
      </c>
      <c r="C51" t="s">
        <v>171</v>
      </c>
      <c r="D51" t="s">
        <v>169</v>
      </c>
    </row>
    <row r="52" spans="1:4">
      <c r="A52" t="s">
        <v>84</v>
      </c>
      <c r="B52" t="str">
        <f>+IF(Einleitung!$J$5="d",C52,IF(Einleitung!$J$5="f",D52))</f>
        <v>Primes moyennes estimées</v>
      </c>
      <c r="C52" t="s">
        <v>96</v>
      </c>
      <c r="D52" t="s">
        <v>107</v>
      </c>
    </row>
    <row r="53" spans="1:4">
      <c r="A53" t="s">
        <v>84</v>
      </c>
      <c r="B53" t="str">
        <f>+IF(Einleitung!$J$5="d",C53,IF(Einleitung!$J$5="f",D53))</f>
        <v>Effectif des assurés estimé</v>
      </c>
      <c r="C53" t="s">
        <v>97</v>
      </c>
      <c r="D53" t="s">
        <v>108</v>
      </c>
    </row>
    <row r="54" spans="1:4">
      <c r="A54" t="s">
        <v>84</v>
      </c>
      <c r="B54" t="str">
        <f>+IF(Einleitung!$J$5="d",C54,IF(Einleitung!$J$5="f",D54))</f>
        <v>Primes à recevoir estimées</v>
      </c>
      <c r="C54" t="s">
        <v>98</v>
      </c>
      <c r="D54" t="s">
        <v>109</v>
      </c>
    </row>
    <row r="55" spans="1:4">
      <c r="A55" t="s">
        <v>84</v>
      </c>
      <c r="B55" t="str">
        <f>+IF(Einleitung!$J$5="d",C55,IF(Einleitung!$J$5="f",D55))</f>
        <v>Participation aux coûts estimée</v>
      </c>
      <c r="C55" t="s">
        <v>99</v>
      </c>
      <c r="D55" t="s">
        <v>110</v>
      </c>
    </row>
    <row r="56" spans="1:4">
      <c r="A56" t="s">
        <v>84</v>
      </c>
      <c r="B56" t="str">
        <f>+IF(Einleitung!$J$5="d",C56,IF(Einleitung!$J$5="f",D56))</f>
        <v>Coûts bruts estimés</v>
      </c>
      <c r="C56" t="s">
        <v>100</v>
      </c>
      <c r="D56" t="s">
        <v>111</v>
      </c>
    </row>
    <row r="58" spans="1:4">
      <c r="A58" t="s">
        <v>115</v>
      </c>
      <c r="B58" t="str">
        <f>+IF(Einleitung!$J$5="d",C58,IF(Einleitung!$J$5="f",D58))</f>
        <v>Canton</v>
      </c>
      <c r="C58" t="s">
        <v>0</v>
      </c>
      <c r="D58" t="s">
        <v>85</v>
      </c>
    </row>
    <row r="59" spans="1:4">
      <c r="A59" t="s">
        <v>115</v>
      </c>
      <c r="B59" t="str">
        <f>+IF(Einleitung!$J$5="d",C59,IF(Einleitung!$J$5="f",D59))</f>
        <v>Nombre de contribuables (AFC)</v>
      </c>
      <c r="C59" t="s">
        <v>116</v>
      </c>
      <c r="D59" t="s">
        <v>118</v>
      </c>
    </row>
    <row r="60" spans="1:4">
      <c r="A60" t="s">
        <v>115</v>
      </c>
      <c r="B60" t="str">
        <f>+IF(Einleitung!$J$5="d",C60,IF(Einleitung!$J$5="f",D60))</f>
        <v>Primes à recevoir des contribuables (AFC)</v>
      </c>
      <c r="C60" t="s">
        <v>117</v>
      </c>
      <c r="D60" t="s">
        <v>62</v>
      </c>
    </row>
    <row r="61" spans="1:4">
      <c r="A61" t="s">
        <v>115</v>
      </c>
      <c r="B61" t="str">
        <f>+IF(Einleitung!$J$5="d",C61,IF(Einleitung!$J$5="f",D61))</f>
        <v>Somme des revenus imposables des 40 % des contribuables aux revenus les plus faibles</v>
      </c>
      <c r="C61" t="s">
        <v>7</v>
      </c>
      <c r="D61" t="s">
        <v>67</v>
      </c>
    </row>
    <row r="62" spans="1:4">
      <c r="A62" t="s">
        <v>115</v>
      </c>
      <c r="B62" t="str">
        <f>+IF(Einleitung!$J$5="d",C62,IF(Einleitung!$J$5="f",D62))</f>
        <v>Primes à recevoir des 40 % des contribuables aux revenus les plus faibles</v>
      </c>
      <c r="C62" t="s">
        <v>45</v>
      </c>
      <c r="D62" t="s">
        <v>165</v>
      </c>
    </row>
    <row r="64" spans="1:4">
      <c r="A64" t="s">
        <v>197</v>
      </c>
      <c r="B64" t="str">
        <f>+IF(Einleitung!$J$5="d",C64,IF(Einleitung!$J$5="f",D64))</f>
        <v>Calcul de la contribution fédérale</v>
      </c>
      <c r="C64" t="s">
        <v>50</v>
      </c>
      <c r="D64" t="s">
        <v>120</v>
      </c>
    </row>
    <row r="65" spans="1:5">
      <c r="A65" t="s">
        <v>197</v>
      </c>
      <c r="B65" t="str">
        <f>+IF(Einleitung!$J$5="d",C65,IF(Einleitung!$J$5="f",D65))</f>
        <v>Année</v>
      </c>
      <c r="C65" t="s">
        <v>56</v>
      </c>
      <c r="D65" t="s">
        <v>121</v>
      </c>
    </row>
    <row r="66" spans="1:5">
      <c r="A66" t="s">
        <v>197</v>
      </c>
      <c r="B66" t="str">
        <f>+IF(Einleitung!$J$5="d",C66,IF(Einleitung!$J$5="f",D66))</f>
        <v>Montant</v>
      </c>
      <c r="C66" t="s">
        <v>55</v>
      </c>
      <c r="D66" t="s">
        <v>123</v>
      </c>
    </row>
    <row r="67" spans="1:5">
      <c r="A67" t="s">
        <v>197</v>
      </c>
      <c r="B67" t="str">
        <f>+IF(Einleitung!$J$5="d",C67,IF(Einleitung!$J$5="f",D67))</f>
        <v>Base juridique</v>
      </c>
      <c r="C67" t="s">
        <v>57</v>
      </c>
      <c r="D67" t="s">
        <v>122</v>
      </c>
    </row>
    <row r="68" spans="1:5">
      <c r="A68" t="s">
        <v>197</v>
      </c>
      <c r="B68" t="str">
        <f>+IF(Einleitung!$J$5="d",C68,IF(Einleitung!$J$5="f",D68))</f>
        <v>Somme des primes à recevoir estimées</v>
      </c>
      <c r="C68" t="s">
        <v>51</v>
      </c>
      <c r="D68" t="s">
        <v>124</v>
      </c>
    </row>
    <row r="69" spans="1:5">
      <c r="A69" t="s">
        <v>197</v>
      </c>
      <c r="B69" t="str">
        <f>+IF(Einleitung!$J$5="d",C69,IF(Einleitung!$J$5="f",D69))</f>
        <v>Somme de la participation aux coûts estimée</v>
      </c>
      <c r="C69" t="s">
        <v>52</v>
      </c>
      <c r="D69" t="s">
        <v>125</v>
      </c>
    </row>
    <row r="70" spans="1:5">
      <c r="A70" t="s">
        <v>197</v>
      </c>
      <c r="B70" t="str">
        <f>+IF(Einleitung!$J$5="d",C70,IF(Einleitung!$J$5="f",D70))</f>
        <v>Somme des coûts bruts estimés</v>
      </c>
      <c r="C70" t="s">
        <v>53</v>
      </c>
      <c r="D70" t="s">
        <v>126</v>
      </c>
    </row>
    <row r="71" spans="1:5">
      <c r="A71" t="s">
        <v>197</v>
      </c>
      <c r="B71" t="str">
        <f>+IF(Einleitung!$J$5="d",C71,IF(Einleitung!$J$5="f",D71))</f>
        <v>Contribution fédérale provisoire (7.5% des coûts bruts)</v>
      </c>
      <c r="C71" t="s">
        <v>54</v>
      </c>
      <c r="D71" t="s">
        <v>127</v>
      </c>
    </row>
    <row r="72" spans="1:5">
      <c r="A72" t="s">
        <v>197</v>
      </c>
      <c r="B72" t="str">
        <f>+IF(Einleitung!$J$5="d",C72,IF(Einleitung!$J$5="f",D72))</f>
        <v>Art. 8 ORPM</v>
      </c>
      <c r="C72" t="s">
        <v>184</v>
      </c>
      <c r="D72" t="s">
        <v>188</v>
      </c>
    </row>
    <row r="73" spans="1:5">
      <c r="A73" t="s">
        <v>197</v>
      </c>
      <c r="B73" t="str">
        <f>+IF(Einleitung!$J$5="d",C73,IF(Einleitung!$J$5="f",D73))</f>
        <v>Art. 9 ORPM</v>
      </c>
      <c r="C73" t="s">
        <v>185</v>
      </c>
      <c r="D73" t="s">
        <v>189</v>
      </c>
    </row>
    <row r="74" spans="1:5">
      <c r="A74" t="s">
        <v>197</v>
      </c>
      <c r="B74" t="str">
        <f>+IF(Einleitung!$J$5="d",C74,IF(Einleitung!$J$5="f",D74))</f>
        <v>Art. 17 ORPM</v>
      </c>
      <c r="C74" t="s">
        <v>186</v>
      </c>
      <c r="D74" t="s">
        <v>190</v>
      </c>
    </row>
    <row r="75" spans="1:5">
      <c r="A75" t="s">
        <v>197</v>
      </c>
      <c r="B75" t="str">
        <f>+IF(Einleitung!$J$5="d",C75,IF(Einleitung!$J$5="f",D75))</f>
        <v>Art. 18 ORPM</v>
      </c>
      <c r="C75" t="s">
        <v>187</v>
      </c>
      <c r="D75" t="s">
        <v>191</v>
      </c>
    </row>
    <row r="77" spans="1:5">
      <c r="A77" t="s">
        <v>128</v>
      </c>
      <c r="B77" t="str">
        <f>+IF(Einleitung!$J$5="d",C77,IF(Einleitung!$J$5="f",D77))</f>
        <v>Département fédéral de l'intérieur DFI</v>
      </c>
      <c r="C77" t="s">
        <v>131</v>
      </c>
      <c r="D77" t="s">
        <v>130</v>
      </c>
      <c r="E77" t="s">
        <v>129</v>
      </c>
    </row>
    <row r="78" spans="1:5">
      <c r="A78" t="s">
        <v>128</v>
      </c>
      <c r="B78" t="str">
        <f>+IF(Einleitung!$J$5="d",C78,IF(Einleitung!$J$5="f",D78))</f>
        <v>Office fédéral de la santé publique OFSP</v>
      </c>
      <c r="C78" t="s">
        <v>134</v>
      </c>
      <c r="D78" t="s">
        <v>133</v>
      </c>
      <c r="E78" t="s">
        <v>132</v>
      </c>
    </row>
    <row r="79" spans="1:5">
      <c r="A79" t="s">
        <v>128</v>
      </c>
      <c r="B79" t="str">
        <f>+IF(Einleitung!$J$5="d",C79,IF(Einleitung!$J$5="f",D79))</f>
        <v>Unité de direction Assurance maladie et accidents</v>
      </c>
      <c r="C79" t="s">
        <v>137</v>
      </c>
      <c r="D79" t="s">
        <v>136</v>
      </c>
      <c r="E79" t="s">
        <v>135</v>
      </c>
    </row>
    <row r="80" spans="1:5">
      <c r="A80" t="s">
        <v>128</v>
      </c>
      <c r="B80" t="str">
        <f>+IF(Einleitung!$J$5="d",C80,IF(Einleitung!$J$5="f",D80))</f>
        <v>Répartition des subsides fédéraux destinés à la réduction des primes entre les cantons pour 2026</v>
      </c>
      <c r="C80" t="str">
        <f>"Aufteilung der Bundesbeiträge Prämienverbilligung "&amp;Mindestbeiträge!B2&amp;" auf die Kantone"</f>
        <v>Aufteilung der Bundesbeiträge Prämienverbilligung 2026 auf die Kantone</v>
      </c>
      <c r="D80" t="str">
        <f>"Répartition des subsides fédéraux destinés à la réduction des primes entre les cantons pour "&amp;Mindestbeiträge!B2&amp;""</f>
        <v>Répartition des subsides fédéraux destinés à la réduction des primes entre les cantons pour 2026</v>
      </c>
      <c r="E80" t="str">
        <f>"Ripartizione dei sussidi della Confederazione per la riduzione individuale dei premi sui Cantoni per il "&amp;Mindestbeiträge!B2&amp;" (Previsione)"</f>
        <v>Ripartizione dei sussidi della Confederazione per la riduzione individuale dei premi sui Cantoni per il 2026 (Previsione)</v>
      </c>
    </row>
    <row r="81" spans="1:5">
      <c r="A81" t="s">
        <v>128</v>
      </c>
      <c r="B81" t="str">
        <f>+IF(Einleitung!$J$5="d",C81,IF(Einleitung!$J$5="f",D81))</f>
        <v>Population résidente moyenne (source OFS)</v>
      </c>
      <c r="C81" t="s">
        <v>140</v>
      </c>
      <c r="D81" t="s">
        <v>139</v>
      </c>
      <c r="E81" t="s">
        <v>138</v>
      </c>
    </row>
    <row r="82" spans="1:5">
      <c r="A82" t="s">
        <v>128</v>
      </c>
      <c r="B82" t="str">
        <f>+IF(Einleitung!$J$5="d",C82,IF(Einleitung!$J$5="f",D82))</f>
        <v>Frontaliers (source statistiques des assureurs)</v>
      </c>
      <c r="C82" t="s">
        <v>143</v>
      </c>
      <c r="D82" t="s">
        <v>142</v>
      </c>
      <c r="E82" t="s">
        <v>141</v>
      </c>
    </row>
    <row r="83" spans="1:5">
      <c r="A83" t="s">
        <v>128</v>
      </c>
      <c r="B83" t="str">
        <f>+IF(Einleitung!$J$5="d",C83,IF(Einleitung!$J$5="f",D83))</f>
        <v>Population résidente moyenne frontaliers compris</v>
      </c>
      <c r="C83" t="s">
        <v>146</v>
      </c>
      <c r="D83" t="s">
        <v>145</v>
      </c>
      <c r="E83" t="s">
        <v>144</v>
      </c>
    </row>
    <row r="84" spans="1:5">
      <c r="A84" t="s">
        <v>128</v>
      </c>
      <c r="B84" t="str">
        <f>+IF(Einleitung!$J$5="d",C84,IF(Einleitung!$J$5="f",D84))</f>
        <v>Part fédérale calculée selon la RPT pour chaque canton</v>
      </c>
      <c r="C84" t="s">
        <v>149</v>
      </c>
      <c r="D84" t="s">
        <v>148</v>
      </c>
      <c r="E84" t="s">
        <v>147</v>
      </c>
    </row>
    <row r="85" spans="1:5">
      <c r="A85" t="s">
        <v>128</v>
      </c>
      <c r="B85" t="str">
        <f>+IF(Einleitung!$J$5="d",C85,IF(Einleitung!$J$5="f",D85))</f>
        <v>Total de la contribution fédérale pour chaque canton</v>
      </c>
      <c r="C85" t="s">
        <v>152</v>
      </c>
      <c r="D85" t="s">
        <v>151</v>
      </c>
      <c r="E85" t="s">
        <v>150</v>
      </c>
    </row>
    <row r="86" spans="1:5">
      <c r="A86" t="s">
        <v>128</v>
      </c>
      <c r="B86" t="str">
        <f>+IF(Einleitung!$J$5="d",C86,IF(Einleitung!$J$5="f",D86))</f>
        <v>Changement en</v>
      </c>
      <c r="C86" t="s">
        <v>155</v>
      </c>
      <c r="D86" t="s">
        <v>154</v>
      </c>
      <c r="E86" t="s">
        <v>153</v>
      </c>
    </row>
    <row r="87" spans="1:5">
      <c r="A87" t="s">
        <v>128</v>
      </c>
      <c r="B87" t="str">
        <f>+IF(Einleitung!$J$5="d",C87,IF(Einleitung!$J$5="f",D87))</f>
        <v>Canton</v>
      </c>
      <c r="C87" t="s">
        <v>0</v>
      </c>
      <c r="D87" t="s">
        <v>85</v>
      </c>
      <c r="E87" t="s">
        <v>156</v>
      </c>
    </row>
    <row r="89" spans="1:5">
      <c r="A89" t="s">
        <v>158</v>
      </c>
      <c r="B89" t="str">
        <f>+IF(Einleitung!$J$5="d",C89,IF(Einleitung!$J$5="f",D89))</f>
        <v>Versements des subsides fédéraux (Réduction des primes) par tranches pour 2026</v>
      </c>
      <c r="C89" t="str">
        <f>"Ratenzahlungen der Bundesbeiträge Prämienverbilligung "&amp;Mindestbeiträge!B2&amp;""</f>
        <v>Ratenzahlungen der Bundesbeiträge Prämienverbilligung 2026</v>
      </c>
      <c r="D89" t="str">
        <f>"Versements des subsides fédéraux (Réduction des primes) par tranches pour "&amp;Mindestbeiträge!B2&amp;""</f>
        <v>Versements des subsides fédéraux (Réduction des primes) par tranches pour 2026</v>
      </c>
      <c r="E89" t="str">
        <f>"Versamenti rateali dei sussidi federali per il "&amp;Mindestbeiträge!B2&amp;" (Previsione)"</f>
        <v>Versamenti rateali dei sussidi federali per il 2026 (Previsione)</v>
      </c>
    </row>
    <row r="90" spans="1:5">
      <c r="A90" t="s">
        <v>158</v>
      </c>
      <c r="B90" t="str">
        <f>+IF(Einleitung!$J$5="d",C90,IF(Einleitung!$J$5="f",D90))</f>
        <v>Canton</v>
      </c>
      <c r="C90" t="s">
        <v>0</v>
      </c>
      <c r="D90" t="s">
        <v>85</v>
      </c>
      <c r="E90" t="s">
        <v>156</v>
      </c>
    </row>
    <row r="91" spans="1:5">
      <c r="A91" t="s">
        <v>158</v>
      </c>
      <c r="B91" t="str">
        <f>+IF(Einleitung!$J$5="d",C91,IF(Einleitung!$J$5="f",D91))</f>
        <v>1ere tranche mars 2026</v>
      </c>
      <c r="C91" t="str">
        <f>"1. Rate März "&amp;Mindestbeiträge!B2</f>
        <v>1. Rate März 2026</v>
      </c>
      <c r="D91" t="str">
        <f>"1ere tranche mars "&amp;Mindestbeiträge!B2</f>
        <v>1ere tranche mars 2026</v>
      </c>
      <c r="E91" t="str">
        <f>"1a rata marzo "&amp;Mindestbeiträge!B2</f>
        <v>1a rata marzo 2026</v>
      </c>
    </row>
    <row r="92" spans="1:5">
      <c r="A92" t="s">
        <v>158</v>
      </c>
      <c r="B92" t="str">
        <f>+IF(Einleitung!$J$5="d",C92,IF(Einleitung!$J$5="f",D92))</f>
        <v>2ème tranche juin 2026</v>
      </c>
      <c r="C92" t="str">
        <f>"2. Rate Juni "&amp;Mindestbeiträge!B2</f>
        <v>2. Rate Juni 2026</v>
      </c>
      <c r="D92" t="str">
        <f>"2ème tranche juin "&amp;Mindestbeiträge!B2</f>
        <v>2ème tranche juin 2026</v>
      </c>
      <c r="E92" t="str">
        <f>"2a rata giugno "&amp;Mindestbeiträge!B2</f>
        <v>2a rata giugno 2026</v>
      </c>
    </row>
    <row r="93" spans="1:5">
      <c r="A93" t="s">
        <v>158</v>
      </c>
      <c r="B93" t="str">
        <f>+IF(Einleitung!$J$5="d",C93,IF(Einleitung!$J$5="f",D93))</f>
        <v>3ème tranche septembre 2026</v>
      </c>
      <c r="C93" t="str">
        <f>"3. Rate September "&amp;Mindestbeiträge!B2</f>
        <v>3. Rate September 2026</v>
      </c>
      <c r="D93" t="str">
        <f>"3ème tranche septembre "&amp;Mindestbeiträge!B2</f>
        <v>3ème tranche septembre 2026</v>
      </c>
      <c r="E93" t="str">
        <f>"3a rata settembre "&amp;Mindestbeiträge!B2</f>
        <v>3a rata settembre 2026</v>
      </c>
    </row>
    <row r="94" spans="1:5">
      <c r="A94" t="s">
        <v>158</v>
      </c>
      <c r="B94" t="str">
        <f>+IF(Einleitung!$J$5="d",C94,IF(Einleitung!$J$5="f",D94))</f>
        <v>Totale 2026</v>
      </c>
      <c r="C94" t="str">
        <f>"Total "&amp;Mindestbeiträge!B2</f>
        <v>Total 2026</v>
      </c>
      <c r="D94" t="str">
        <f>"Totale "&amp;Mindestbeiträge!B2</f>
        <v>Totale 2026</v>
      </c>
      <c r="E94" t="str">
        <f>"Totale "&amp;Mindestbeiträge!B2</f>
        <v>Totale 2026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FAEF6-BCF0-4ED1-AB0C-F0B2307A7E5D}">
  <dimension ref="A1:D12"/>
  <sheetViews>
    <sheetView showGridLines="0" topLeftCell="A2" workbookViewId="0">
      <selection activeCell="C5" sqref="C5"/>
    </sheetView>
  </sheetViews>
  <sheetFormatPr baseColWidth="10" defaultColWidth="10.85546875" defaultRowHeight="15"/>
  <cols>
    <col min="1" max="1" width="58.28515625" bestFit="1" customWidth="1"/>
    <col min="2" max="2" width="7.140625" customWidth="1"/>
    <col min="3" max="3" width="26.85546875" customWidth="1"/>
    <col min="4" max="4" width="95.5703125" customWidth="1"/>
  </cols>
  <sheetData>
    <row r="1" spans="1:4" hidden="1">
      <c r="A1" t="s">
        <v>1</v>
      </c>
    </row>
    <row r="3" spans="1:4">
      <c r="A3" s="70" t="str">
        <f>Übersetzung!B64</f>
        <v>Calcul de la contribution fédérale</v>
      </c>
      <c r="B3" s="70" t="str">
        <f>Übersetzung!B65</f>
        <v>Année</v>
      </c>
      <c r="C3" s="70" t="str">
        <f>Übersetzung!B66</f>
        <v>Montant</v>
      </c>
      <c r="D3" s="70" t="str">
        <f>Übersetzung!B67</f>
        <v>Base juridique</v>
      </c>
    </row>
    <row r="4" spans="1:4">
      <c r="B4" s="67"/>
      <c r="C4" s="14"/>
    </row>
    <row r="5" spans="1:4">
      <c r="A5" s="66" t="str">
        <f>Übersetzung!B68</f>
        <v>Somme des primes à recevoir estimées</v>
      </c>
      <c r="B5" s="67">
        <f>+Mindestbeiträge!B2</f>
        <v>2026</v>
      </c>
      <c r="C5" s="14">
        <f>_xlfn.XLOOKUP($A$1,Statistikdaten!A5:A32,Statistikdaten!M5:M32)</f>
        <v>43508655131.969612</v>
      </c>
      <c r="D5" s="13" t="str">
        <f>Übersetzung!B72</f>
        <v>Art. 8 ORPM</v>
      </c>
    </row>
    <row r="6" spans="1:4">
      <c r="A6" s="66" t="str">
        <f>Übersetzung!B69</f>
        <v>Somme de la participation aux coûts estimée</v>
      </c>
      <c r="B6" s="67">
        <f>+B5</f>
        <v>2026</v>
      </c>
      <c r="C6" s="14">
        <f>_xlfn.XLOOKUP($A$1,Statistikdaten!A6:A33,Statistikdaten!N6:N33)</f>
        <v>6393037556.5488777</v>
      </c>
      <c r="D6" s="13" t="str">
        <f>Übersetzung!B73</f>
        <v>Art. 9 ORPM</v>
      </c>
    </row>
    <row r="7" spans="1:4" ht="18.600000000000001" customHeight="1">
      <c r="A7" s="66" t="str">
        <f>Übersetzung!B70</f>
        <v>Somme des coûts bruts estimés</v>
      </c>
      <c r="B7" s="67">
        <f>+B5</f>
        <v>2026</v>
      </c>
      <c r="C7" s="14">
        <f>SUM(C5:C6)</f>
        <v>49901692688.518494</v>
      </c>
      <c r="D7" s="13" t="str">
        <f>Übersetzung!B74</f>
        <v>Art. 17 ORPM</v>
      </c>
    </row>
    <row r="8" spans="1:4">
      <c r="B8" s="67"/>
      <c r="C8" s="14"/>
    </row>
    <row r="9" spans="1:4">
      <c r="A9" s="66" t="str">
        <f>Übersetzung!B71</f>
        <v>Contribution fédérale provisoire (7.5% des coûts bruts)</v>
      </c>
      <c r="B9" s="67">
        <f>+B5</f>
        <v>2026</v>
      </c>
      <c r="C9" s="14">
        <f>7.5%*$C$7</f>
        <v>3742626951.6388869</v>
      </c>
      <c r="D9" s="13" t="str">
        <f>Übersetzung!B75</f>
        <v>Art. 18 ORPM</v>
      </c>
    </row>
    <row r="10" spans="1:4">
      <c r="C10" s="14"/>
    </row>
    <row r="11" spans="1:4">
      <c r="C11" s="12"/>
    </row>
    <row r="12" spans="1:4">
      <c r="B12" s="12"/>
    </row>
  </sheetData>
  <sheetProtection sheet="1" objects="1" scenarios="1"/>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54539-D7A8-469A-85F8-BCD0410DC07F}">
  <sheetPr>
    <tabColor theme="9" tint="0.79998168889431442"/>
  </sheetPr>
  <dimension ref="B2:J30"/>
  <sheetViews>
    <sheetView tabSelected="1" zoomScale="85" zoomScaleNormal="85" workbookViewId="0">
      <selection activeCell="C5" sqref="C5"/>
    </sheetView>
  </sheetViews>
  <sheetFormatPr baseColWidth="10" defaultColWidth="10.85546875" defaultRowHeight="15"/>
  <cols>
    <col min="2" max="2" width="63.42578125" customWidth="1"/>
    <col min="3" max="3" width="31.7109375" customWidth="1"/>
    <col min="5" max="5" width="72.140625" customWidth="1"/>
    <col min="10" max="10" width="0" hidden="1" customWidth="1"/>
  </cols>
  <sheetData>
    <row r="2" spans="2:10" ht="26.25">
      <c r="B2" s="119" t="str">
        <f>Übersetzung!B2</f>
        <v>Introduction</v>
      </c>
    </row>
    <row r="3" spans="2:10">
      <c r="B3" s="13" t="str">
        <f>Übersetzung!B3&amp;" 23.09.2025"</f>
        <v>État au 23.09.2025</v>
      </c>
    </row>
    <row r="5" spans="2:10" ht="29.25">
      <c r="B5" s="123" t="s">
        <v>167</v>
      </c>
      <c r="C5" s="125" t="s">
        <v>60</v>
      </c>
      <c r="J5" s="82" t="str">
        <f>IF(Einleitung!$C$5="F - Français","f","d")</f>
        <v>f</v>
      </c>
    </row>
    <row r="7" spans="2:10" ht="54.6" customHeight="1">
      <c r="B7" s="141" t="str">
        <f>Übersetzung!B4</f>
        <v>Ce fichier contient les calculs de la contribution fédérale et de sa répartition entre les cantons (art. 17 ss. ORPM) ainsi que les contributions minimales des cantons à la réduction des primes en 2026 (art. 6 ORPM).</v>
      </c>
      <c r="C7" s="141"/>
      <c r="D7" s="117"/>
      <c r="E7" s="117"/>
      <c r="J7" s="86"/>
    </row>
    <row r="8" spans="2:10" ht="16.5" customHeight="1">
      <c r="B8" s="122" t="s">
        <v>202</v>
      </c>
      <c r="D8" s="117"/>
      <c r="E8" s="117"/>
      <c r="J8" s="86"/>
    </row>
    <row r="9" spans="2:10" ht="27" customHeight="1">
      <c r="B9" s="141" t="str">
        <f>Übersetzung!B9</f>
        <v>Ce tableau montre la répartition de la contribution fédérale entre les cantons (art. 18 ORPM).</v>
      </c>
      <c r="C9" s="141"/>
      <c r="D9" s="117"/>
      <c r="E9" s="117"/>
      <c r="J9" s="86"/>
    </row>
    <row r="10" spans="2:10" ht="17.45" customHeight="1">
      <c r="D10" s="117"/>
      <c r="E10" s="117"/>
      <c r="J10" s="86"/>
    </row>
    <row r="11" spans="2:10" ht="14.45" customHeight="1">
      <c r="B11" s="122" t="s">
        <v>203</v>
      </c>
      <c r="D11" s="117"/>
      <c r="E11" s="117"/>
      <c r="J11" s="86"/>
    </row>
    <row r="12" spans="2:10" ht="42.6" customHeight="1">
      <c r="B12" s="141" t="str">
        <f>Übersetzung!B10</f>
        <v>La contribution fédérale sera versée en trois tranches au cours de l'année d'exécution (art. 19 ORPM). Ce tableau présente les trois tranches par canton.</v>
      </c>
      <c r="C12" s="141"/>
      <c r="D12" s="117"/>
      <c r="E12" s="117"/>
      <c r="J12" s="86"/>
    </row>
    <row r="14" spans="2:10">
      <c r="B14" s="121" t="s">
        <v>204</v>
      </c>
      <c r="J14" s="83" t="s">
        <v>59</v>
      </c>
    </row>
    <row r="15" spans="2:10" ht="57.75" customHeight="1">
      <c r="B15" s="141" t="str">
        <f>Übersetzung!B5</f>
        <v>Les calculs des contributions minimales des cantons sont présentés dans ce tableau. Les cellules sont remplies avec des formules. La base de ces calculs se trouve dans les tableaux de revenus et des données statistiques.</v>
      </c>
      <c r="C15" s="141" t="str">
        <f>Übersetzung!C5</f>
        <v xml:space="preserve">Die Berechnungen der kantonalen Mindestbeiträge sind in dieser Tabelle aufgeführt. Die Felder sind mit Formeln hinterlegt. Die Grundlagen dieser Berechnungen sind die Werte aus den Tabellen Einkommens- und Statistikdaten. 
</v>
      </c>
      <c r="J15" t="s">
        <v>58</v>
      </c>
    </row>
    <row r="16" spans="2:10">
      <c r="B16" s="118"/>
      <c r="J16" t="s">
        <v>60</v>
      </c>
    </row>
    <row r="17" spans="2:3">
      <c r="B17" s="121" t="s">
        <v>84</v>
      </c>
    </row>
    <row r="18" spans="2:3" ht="54.6" customHeight="1">
      <c r="B18" s="141" t="str">
        <f>Übersetzung!B6</f>
        <v xml:space="preserve">Le tableau de données statistiques contient les informations des statistiques de l'AOS ainsi que les estimations nécessaires au calcul pour l'année d'exécution.
</v>
      </c>
      <c r="C18" s="141" t="str">
        <f>Übersetzung!C6</f>
        <v xml:space="preserve">Die Tabelle Statistikdaten enthält die Angaben aus der OKP Statistik sowie die für die Berechnung notwendigen Schätzungen für das Durchführsjahr.
</v>
      </c>
    </row>
    <row r="19" spans="2:3">
      <c r="B19" s="120"/>
    </row>
    <row r="20" spans="2:3">
      <c r="B20" s="142" t="s">
        <v>115</v>
      </c>
      <c r="C20" s="142" t="str">
        <f>Übersetzung!C7</f>
        <v xml:space="preserve">Die Tabelle Einkommensdaten enthält die Anzahl und das Prämiensoll der steuerpflichtigen Personen, die Summe des steuerbaren Einkommens und das Prämiensoll der 40% einkommensschwächsten Versicherten. </v>
      </c>
    </row>
    <row r="21" spans="2:3" ht="68.25" customHeight="1">
      <c r="B21" s="141" t="str">
        <f>Übersetzung!B7</f>
        <v xml:space="preserve">Le tableau des données sur les revenus contient le nombre et la prime à recevoir des contribuables, le revenu imposable total et la prime à recevoir des 40 % des assurés ayant les revenus les plus bas. </v>
      </c>
      <c r="C21" s="141" t="e">
        <f>Übersetzung!#REF!</f>
        <v>#REF!</v>
      </c>
    </row>
    <row r="22" spans="2:3" hidden="1"/>
    <row r="23" spans="2:3" hidden="1">
      <c r="B23" s="142" t="s">
        <v>119</v>
      </c>
      <c r="C23" s="142" t="e">
        <f>Übersetzung!#REF!</f>
        <v>#REF!</v>
      </c>
    </row>
    <row r="24" spans="2:3" ht="14.45" hidden="1" customHeight="1">
      <c r="B24" s="141" t="str">
        <f>Übersetzung!B8</f>
        <v>Le tableau contient le calcul de la contribution fédérale 2026 (art. 17 ss. P-ORPM)</v>
      </c>
      <c r="C24" s="141" t="str">
        <f>Übersetzung!C9</f>
        <v>In dieser Tabelle ist die Aufteilung des Bundesbeitrags auf die Kantone aufgeführt (Art. 18 VPVK).</v>
      </c>
    </row>
    <row r="27" spans="2:3" ht="19.5" customHeight="1"/>
    <row r="30" spans="2:3" ht="30" customHeight="1"/>
  </sheetData>
  <mergeCells count="9">
    <mergeCell ref="B21:C21"/>
    <mergeCell ref="B24:C24"/>
    <mergeCell ref="B20:C20"/>
    <mergeCell ref="B23:C23"/>
    <mergeCell ref="B9:C9"/>
    <mergeCell ref="B12:C12"/>
    <mergeCell ref="B7:C7"/>
    <mergeCell ref="B15:C15"/>
    <mergeCell ref="B18:C18"/>
  </mergeCells>
  <conditionalFormatting sqref="J5">
    <cfRule type="expression" dxfId="2" priority="1" stopIfTrue="1">
      <formula>$S$1="d"</formula>
    </cfRule>
    <cfRule type="expression" dxfId="1" priority="2" stopIfTrue="1">
      <formula>$S$1="f"</formula>
    </cfRule>
    <cfRule type="expression" dxfId="0" priority="3" stopIfTrue="1">
      <formula>$S$1="i"</formula>
    </cfRule>
  </conditionalFormatting>
  <dataValidations count="1">
    <dataValidation type="list" allowBlank="1" showInputMessage="1" showErrorMessage="1" sqref="C5" xr:uid="{67ECE40C-FDEA-4231-A3B9-52A85A6D57ED}">
      <formula1>$J$15:$J$16</formula1>
    </dataValidation>
  </dataValidations>
  <pageMargins left="0.7" right="0.7" top="0.78740157499999996" bottom="0.78740157499999996" header="0.3" footer="0.3"/>
  <customProperties>
    <customPr name="EpmWorksheetKeyString_GUID" r:id="rId1"/>
  </customPropertie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37BE4-9E53-4359-911D-D0707FEB8258}">
  <sheetPr>
    <tabColor theme="7" tint="0.79998168889431442"/>
    <pageSetUpPr fitToPage="1"/>
  </sheetPr>
  <dimension ref="A1:M44"/>
  <sheetViews>
    <sheetView showGridLines="0" workbookViewId="0">
      <selection activeCell="E40" sqref="E40"/>
    </sheetView>
  </sheetViews>
  <sheetFormatPr baseColWidth="10" defaultColWidth="11.5703125" defaultRowHeight="12.75"/>
  <cols>
    <col min="1" max="1" width="22.85546875" style="39" customWidth="1"/>
    <col min="2" max="2" width="16" style="39" customWidth="1"/>
    <col min="3" max="3" width="12.85546875" style="39" customWidth="1"/>
    <col min="4" max="4" width="17.42578125" style="39" customWidth="1"/>
    <col min="5" max="5" width="19.5703125" style="40" bestFit="1" customWidth="1"/>
    <col min="6" max="6" width="17.85546875" style="40" bestFit="1" customWidth="1"/>
    <col min="7" max="7" width="16.5703125" style="40" bestFit="1" customWidth="1"/>
    <col min="8" max="9" width="11.85546875" style="40" customWidth="1"/>
    <col min="10" max="10" width="8" style="40" customWidth="1"/>
    <col min="11" max="11" width="6" style="40" customWidth="1"/>
    <col min="12" max="16384" width="11.5703125" style="39"/>
  </cols>
  <sheetData>
    <row r="1" spans="1:13" ht="18" customHeight="1">
      <c r="G1" s="41" t="str">
        <f>+Übersetzung!B77</f>
        <v>Département fédéral de l'intérieur DFI</v>
      </c>
    </row>
    <row r="2" spans="1:13">
      <c r="G2" s="42" t="str">
        <f>+Übersetzung!B78</f>
        <v>Office fédéral de la santé publique OFSP</v>
      </c>
    </row>
    <row r="3" spans="1:13">
      <c r="G3" s="43" t="str">
        <f>+Übersetzung!B79</f>
        <v>Unité de direction Assurance maladie et accidents</v>
      </c>
    </row>
    <row r="4" spans="1:13" ht="23.1" customHeight="1" thickBot="1">
      <c r="G4" s="43"/>
    </row>
    <row r="5" spans="1:13" s="45" customFormat="1" ht="18.75" thickBot="1">
      <c r="A5" s="143" t="str">
        <f>+Übersetzung!B80</f>
        <v>Répartition des subsides fédéraux destinés à la réduction des primes entre les cantons pour 2026</v>
      </c>
      <c r="B5" s="144"/>
      <c r="C5" s="144"/>
      <c r="D5" s="144"/>
      <c r="E5" s="144"/>
      <c r="F5" s="144"/>
      <c r="G5" s="144"/>
      <c r="H5" s="144"/>
      <c r="I5" s="144"/>
      <c r="J5" s="145"/>
      <c r="K5" s="44"/>
    </row>
    <row r="7" spans="1:13" ht="66.599999999999994" customHeight="1">
      <c r="A7" s="46" t="str">
        <f>+Übersetzung!B87</f>
        <v>Canton</v>
      </c>
      <c r="B7" s="47" t="str">
        <f>+Übersetzung!B81</f>
        <v>Population résidente moyenne (source OFS)</v>
      </c>
      <c r="C7" s="47" t="str">
        <f>+Übersetzung!B82</f>
        <v>Frontaliers (source statistiques des assureurs)</v>
      </c>
      <c r="D7" s="47" t="str">
        <f>+Übersetzung!B83</f>
        <v>Population résidente moyenne frontaliers compris</v>
      </c>
      <c r="E7" s="47" t="str">
        <f>+Übersetzung!B84</f>
        <v>Part fédérale calculée selon la RPT pour chaque canton</v>
      </c>
      <c r="F7" s="47" t="str">
        <f>+Übersetzung!B85</f>
        <v>Total de la contribution fédérale pour chaque canton</v>
      </c>
      <c r="G7" s="47" t="str">
        <f>+F7</f>
        <v>Total de la contribution fédérale pour chaque canton</v>
      </c>
      <c r="H7" s="47" t="str">
        <f>+Übersetzung!B86</f>
        <v>Changement en</v>
      </c>
      <c r="I7" s="47" t="str">
        <f>+H7</f>
        <v>Changement en</v>
      </c>
      <c r="J7" s="47" t="str">
        <f>+A7</f>
        <v>Canton</v>
      </c>
    </row>
    <row r="8" spans="1:13" s="44" customFormat="1" ht="38.450000000000003" customHeight="1">
      <c r="A8" s="48"/>
      <c r="B8" s="68">
        <v>2024</v>
      </c>
      <c r="C8" s="68">
        <v>2024</v>
      </c>
      <c r="D8" s="68">
        <v>2024</v>
      </c>
      <c r="E8" s="68">
        <f>'Bundesbeitrag 2026 (def.)'!B9</f>
        <v>2026</v>
      </c>
      <c r="F8" s="48">
        <f>E8</f>
        <v>2026</v>
      </c>
      <c r="G8" s="48">
        <f>F8-1</f>
        <v>2025</v>
      </c>
      <c r="H8" s="48" t="s">
        <v>47</v>
      </c>
      <c r="I8" s="48" t="s">
        <v>48</v>
      </c>
      <c r="J8" s="48"/>
      <c r="K8" s="40"/>
    </row>
    <row r="9" spans="1:13" s="45" customFormat="1" ht="18" customHeight="1">
      <c r="A9" s="49" t="str">
        <f>IF(Einleitung!$J$5="i","Zurigo",IF(Einleitung!$J$5="f","Zurich","Zürich"))</f>
        <v>Zurich</v>
      </c>
      <c r="B9" s="129">
        <v>1605508</v>
      </c>
      <c r="C9" s="50" vm="1">
        <v>13346.41</v>
      </c>
      <c r="D9" s="50">
        <f t="shared" ref="D9:D34" si="0">SUM(B9:C9)</f>
        <v>1618854.41</v>
      </c>
      <c r="E9" s="51">
        <f>'Bundesbeitrag 2026 (def.)'!$C$9/$D$36*D9</f>
        <v>662858751.22626114</v>
      </c>
      <c r="F9" s="53">
        <f t="shared" ref="F9:F34" si="1">ROUND(SUM(E9:E9),0)</f>
        <v>662858751</v>
      </c>
      <c r="G9" s="69">
        <v>631594269</v>
      </c>
      <c r="H9" s="53">
        <f t="shared" ref="H9:H34" si="2">F9-G9</f>
        <v>31264482</v>
      </c>
      <c r="I9" s="54">
        <f t="shared" ref="I9:I34" si="3">H9/G9</f>
        <v>4.9500895645397315E-2</v>
      </c>
      <c r="J9" s="55" t="s">
        <v>39</v>
      </c>
      <c r="K9" s="40"/>
      <c r="M9" s="56"/>
    </row>
    <row r="10" spans="1:13" s="45" customFormat="1" ht="18" customHeight="1">
      <c r="A10" s="49" t="str">
        <f>IF(Einleitung!$J$5="i","Berna",IF(Einleitung!$J$5="f","Berne","Bern"))</f>
        <v>Berne</v>
      </c>
      <c r="B10" s="129">
        <v>1063533</v>
      </c>
      <c r="C10" s="50" vm="5">
        <v>2801.0200000000004</v>
      </c>
      <c r="D10" s="50">
        <f t="shared" si="0"/>
        <v>1066334.02</v>
      </c>
      <c r="E10" s="51">
        <f>'Bundesbeitrag 2026 (def.)'!$C$9/$D$36*D10</f>
        <v>436622856.58367455</v>
      </c>
      <c r="F10" s="53">
        <f t="shared" si="1"/>
        <v>436622857</v>
      </c>
      <c r="G10" s="69">
        <v>417103290</v>
      </c>
      <c r="H10" s="53">
        <f t="shared" si="2"/>
        <v>19519567</v>
      </c>
      <c r="I10" s="54">
        <f t="shared" si="3"/>
        <v>4.6797921445309143E-2</v>
      </c>
      <c r="J10" s="55" t="s">
        <v>14</v>
      </c>
      <c r="K10" s="40"/>
      <c r="M10" s="56"/>
    </row>
    <row r="11" spans="1:13" s="45" customFormat="1" ht="18" customHeight="1">
      <c r="A11" s="49" t="str">
        <f>IF(Einleitung!$J$5="i","Lucerna",IF(Einleitung!$J$5="f","Lucerne","Luzern"))</f>
        <v>Lucerne</v>
      </c>
      <c r="B11" s="129">
        <v>432744</v>
      </c>
      <c r="C11" s="50" vm="13">
        <v>714.59</v>
      </c>
      <c r="D11" s="50">
        <f t="shared" si="0"/>
        <v>433458.59</v>
      </c>
      <c r="E11" s="51">
        <f>'Bundesbeitrag 2026 (def.)'!$C$9/$D$36*D11</f>
        <v>177484656.99006</v>
      </c>
      <c r="F11" s="53">
        <f t="shared" si="1"/>
        <v>177484657</v>
      </c>
      <c r="G11" s="69">
        <v>169009757</v>
      </c>
      <c r="H11" s="53">
        <f t="shared" si="2"/>
        <v>8474900</v>
      </c>
      <c r="I11" s="54">
        <f t="shared" si="3"/>
        <v>5.0144442252526282E-2</v>
      </c>
      <c r="J11" s="55" t="s">
        <v>15</v>
      </c>
      <c r="K11" s="40"/>
      <c r="M11" s="56"/>
    </row>
    <row r="12" spans="1:13" s="45" customFormat="1" ht="18" customHeight="1">
      <c r="A12" s="49" t="str">
        <f>IF(Einleitung!$J$5="i","Uri",IF(Einleitung!$J$5="f","Uri","Uri"))</f>
        <v>Uri</v>
      </c>
      <c r="B12" s="129">
        <v>37931</v>
      </c>
      <c r="C12" s="50" vm="23">
        <v>19.93</v>
      </c>
      <c r="D12" s="50">
        <f t="shared" si="0"/>
        <v>37950.93</v>
      </c>
      <c r="E12" s="51">
        <f>'Bundesbeitrag 2026 (def.)'!$C$9/$D$36*D12</f>
        <v>15539449.324337482</v>
      </c>
      <c r="F12" s="53">
        <f t="shared" si="1"/>
        <v>15539449</v>
      </c>
      <c r="G12" s="69">
        <v>14813536</v>
      </c>
      <c r="H12" s="53">
        <f t="shared" si="2"/>
        <v>725913</v>
      </c>
      <c r="I12" s="54">
        <f t="shared" si="3"/>
        <v>4.9003357469816794E-2</v>
      </c>
      <c r="J12" s="55" t="s">
        <v>16</v>
      </c>
      <c r="K12" s="40"/>
      <c r="M12" s="56"/>
    </row>
    <row r="13" spans="1:13" s="45" customFormat="1" ht="18" customHeight="1">
      <c r="A13" s="49" t="str">
        <f>IF(Einleitung!$J$5="i","Svitto",IF(Einleitung!$J$5="f","Schwyz","Schwyz"))</f>
        <v>Schwyz</v>
      </c>
      <c r="B13" s="129">
        <v>167403</v>
      </c>
      <c r="C13" s="50" vm="20">
        <v>304.61</v>
      </c>
      <c r="D13" s="50">
        <f t="shared" si="0"/>
        <v>167707.60999999999</v>
      </c>
      <c r="E13" s="51">
        <f>'Bundesbeitrag 2026 (def.)'!$C$9/$D$36*D13</f>
        <v>68669829.880341634</v>
      </c>
      <c r="F13" s="53">
        <f t="shared" si="1"/>
        <v>68669830</v>
      </c>
      <c r="G13" s="69">
        <v>65501216</v>
      </c>
      <c r="H13" s="53">
        <f t="shared" si="2"/>
        <v>3168614</v>
      </c>
      <c r="I13" s="54">
        <f t="shared" si="3"/>
        <v>4.8374888185281933E-2</v>
      </c>
      <c r="J13" s="55" t="s">
        <v>17</v>
      </c>
      <c r="K13" s="40"/>
      <c r="M13" s="56"/>
    </row>
    <row r="14" spans="1:13" s="45" customFormat="1" ht="18" customHeight="1">
      <c r="A14" s="49" t="str">
        <f>IF(Einleitung!$J$5="i","Obvaldo",IF(Einleitung!$J$5="f","Obwald","Obwalden"))</f>
        <v>Obwald</v>
      </c>
      <c r="B14" s="129">
        <v>39272</v>
      </c>
      <c r="C14" s="50" vm="16">
        <v>65.22</v>
      </c>
      <c r="D14" s="50">
        <f t="shared" si="0"/>
        <v>39337.22</v>
      </c>
      <c r="E14" s="51">
        <f>'Bundesbeitrag 2026 (def.)'!$C$9/$D$36*D14</f>
        <v>16107081.875208721</v>
      </c>
      <c r="F14" s="53">
        <f t="shared" si="1"/>
        <v>16107082</v>
      </c>
      <c r="G14" s="69">
        <v>15364664</v>
      </c>
      <c r="H14" s="53">
        <f t="shared" si="2"/>
        <v>742418</v>
      </c>
      <c r="I14" s="54">
        <f t="shared" si="3"/>
        <v>4.8319833092347483E-2</v>
      </c>
      <c r="J14" s="55" t="s">
        <v>18</v>
      </c>
      <c r="K14" s="40"/>
      <c r="M14" s="56"/>
    </row>
    <row r="15" spans="1:13" s="45" customFormat="1" ht="18" customHeight="1">
      <c r="A15" s="49" t="str">
        <f>IF(Einleitung!$J$5="i","Nidvaldo",IF(Einleitung!$J$5="f","Nidwald","Nidwalden"))</f>
        <v>Nidwald</v>
      </c>
      <c r="B15" s="129">
        <v>45016</v>
      </c>
      <c r="C15" s="50" vm="15">
        <v>71.460000000000008</v>
      </c>
      <c r="D15" s="50">
        <f t="shared" si="0"/>
        <v>45087.46</v>
      </c>
      <c r="E15" s="51">
        <f>'Bundesbeitrag 2026 (def.)'!$C$9/$D$36*D15</f>
        <v>18461584.467972018</v>
      </c>
      <c r="F15" s="53">
        <f t="shared" si="1"/>
        <v>18461584</v>
      </c>
      <c r="G15" s="69">
        <v>17621477</v>
      </c>
      <c r="H15" s="53">
        <f t="shared" si="2"/>
        <v>840107</v>
      </c>
      <c r="I15" s="54">
        <f t="shared" si="3"/>
        <v>4.7675175015125013E-2</v>
      </c>
      <c r="J15" s="55" t="s">
        <v>19</v>
      </c>
      <c r="K15" s="40"/>
      <c r="M15" s="56"/>
    </row>
    <row r="16" spans="1:13" s="45" customFormat="1" ht="18" customHeight="1">
      <c r="A16" s="49" t="str">
        <f>IF(Einleitung!$J$5="i","Glarona",IF(Einleitung!$J$5="f","Glaris","Glarus"))</f>
        <v>Glaris</v>
      </c>
      <c r="B16" s="129">
        <v>42056</v>
      </c>
      <c r="C16" s="50" vm="10">
        <v>49.89</v>
      </c>
      <c r="D16" s="50">
        <f t="shared" si="0"/>
        <v>42105.89</v>
      </c>
      <c r="E16" s="51">
        <f>'Bundesbeitrag 2026 (def.)'!$C$9/$D$36*D16</f>
        <v>17240745.982012253</v>
      </c>
      <c r="F16" s="53">
        <f t="shared" si="1"/>
        <v>17240746</v>
      </c>
      <c r="G16" s="69">
        <v>16454334</v>
      </c>
      <c r="H16" s="53">
        <f t="shared" si="2"/>
        <v>786412</v>
      </c>
      <c r="I16" s="54">
        <f t="shared" si="3"/>
        <v>4.77936086626174E-2</v>
      </c>
      <c r="J16" s="55" t="s">
        <v>20</v>
      </c>
      <c r="K16" s="40"/>
      <c r="M16" s="56"/>
    </row>
    <row r="17" spans="1:13" s="45" customFormat="1" ht="18" customHeight="1">
      <c r="A17" s="49" t="str">
        <f>IF(Einleitung!$J$5="i","Zugo",IF(Einleitung!$J$5="f","Zoug","Zug"))</f>
        <v>Zoug</v>
      </c>
      <c r="B17" s="129">
        <v>132556</v>
      </c>
      <c r="C17" s="50" vm="26">
        <v>1158.22</v>
      </c>
      <c r="D17" s="50">
        <f t="shared" si="0"/>
        <v>133714.22</v>
      </c>
      <c r="E17" s="51">
        <f>'Bundesbeitrag 2026 (def.)'!$C$9/$D$36*D17</f>
        <v>54750841.300419077</v>
      </c>
      <c r="F17" s="53">
        <f t="shared" si="1"/>
        <v>54750841</v>
      </c>
      <c r="G17" s="69">
        <v>52313599</v>
      </c>
      <c r="H17" s="53">
        <f t="shared" si="2"/>
        <v>2437242</v>
      </c>
      <c r="I17" s="54">
        <f t="shared" si="3"/>
        <v>4.6589071419077858E-2</v>
      </c>
      <c r="J17" s="55" t="s">
        <v>21</v>
      </c>
      <c r="K17" s="40"/>
      <c r="M17" s="56"/>
    </row>
    <row r="18" spans="1:13" s="45" customFormat="1" ht="18" customHeight="1">
      <c r="A18" s="49" t="str">
        <f>IF(Einleitung!$J$5="i","Friburgo",IF(Einleitung!$J$5="f","Fribourg","Freiburg"))</f>
        <v>Fribourg</v>
      </c>
      <c r="B18" s="129">
        <v>341537</v>
      </c>
      <c r="C18" s="50" vm="8">
        <v>931.33</v>
      </c>
      <c r="D18" s="50">
        <f t="shared" si="0"/>
        <v>342468.33</v>
      </c>
      <c r="E18" s="51">
        <f>'Bundesbeitrag 2026 (def.)'!$C$9/$D$36*D18</f>
        <v>140227637.61587623</v>
      </c>
      <c r="F18" s="53">
        <f t="shared" si="1"/>
        <v>140227638</v>
      </c>
      <c r="G18" s="69">
        <v>133300995</v>
      </c>
      <c r="H18" s="53">
        <f t="shared" si="2"/>
        <v>6926643</v>
      </c>
      <c r="I18" s="54">
        <f t="shared" si="3"/>
        <v>5.1962425336735112E-2</v>
      </c>
      <c r="J18" s="55" t="s">
        <v>22</v>
      </c>
      <c r="K18" s="40"/>
      <c r="M18" s="56"/>
    </row>
    <row r="19" spans="1:13" s="45" customFormat="1" ht="18" customHeight="1">
      <c r="A19" s="49" t="str">
        <f>IF(Einleitung!$J$5="i","Soletta",IF(Einleitung!$J$5="f","Soleure","Solothurn"))</f>
        <v>Soleure</v>
      </c>
      <c r="B19" s="129">
        <v>286844</v>
      </c>
      <c r="C19" s="50" vm="19">
        <v>1594.03</v>
      </c>
      <c r="D19" s="50">
        <f t="shared" si="0"/>
        <v>288438.03000000003</v>
      </c>
      <c r="E19" s="51">
        <f>'Bundesbeitrag 2026 (def.)'!$C$9/$D$36*D19</f>
        <v>118104303.38325661</v>
      </c>
      <c r="F19" s="53">
        <f t="shared" si="1"/>
        <v>118104303</v>
      </c>
      <c r="G19" s="69">
        <v>112583180</v>
      </c>
      <c r="H19" s="53">
        <f t="shared" si="2"/>
        <v>5521123</v>
      </c>
      <c r="I19" s="54">
        <f t="shared" si="3"/>
        <v>4.904038951466818E-2</v>
      </c>
      <c r="J19" s="55" t="s">
        <v>23</v>
      </c>
      <c r="K19" s="40"/>
      <c r="M19" s="56"/>
    </row>
    <row r="20" spans="1:13" s="45" customFormat="1" ht="18" customHeight="1">
      <c r="A20" s="49" t="str">
        <f>IF(Einleitung!$J$5="i","Basilea Città",IF(Einleitung!$J$5="f","Bâle-Ville","Basel-Stadt"))</f>
        <v>Bâle-Ville</v>
      </c>
      <c r="B20" s="129">
        <v>200031</v>
      </c>
      <c r="C20" s="50" vm="7">
        <v>30412.500000000004</v>
      </c>
      <c r="D20" s="50">
        <f t="shared" si="0"/>
        <v>230443.5</v>
      </c>
      <c r="E20" s="51">
        <f>'Bundesbeitrag 2026 (def.)'!$C$9/$D$36*D20</f>
        <v>94357769.107976124</v>
      </c>
      <c r="F20" s="53">
        <f t="shared" si="1"/>
        <v>94357769</v>
      </c>
      <c r="G20" s="69">
        <v>89560329</v>
      </c>
      <c r="H20" s="53">
        <f t="shared" si="2"/>
        <v>4797440</v>
      </c>
      <c r="I20" s="54">
        <f t="shared" si="3"/>
        <v>5.3566574102245648E-2</v>
      </c>
      <c r="J20" s="55" t="s">
        <v>24</v>
      </c>
      <c r="K20" s="40"/>
      <c r="M20" s="56"/>
    </row>
    <row r="21" spans="1:13" s="45" customFormat="1" ht="18" customHeight="1">
      <c r="A21" s="49" t="str">
        <f>IF(Einleitung!$J$5="i","Basilea Campagna",IF(Einleitung!$J$5="f","Bâle-Campagne","Basel-Landschaft"))</f>
        <v>Bâle-Campagne</v>
      </c>
      <c r="B21" s="129">
        <v>298837</v>
      </c>
      <c r="C21" s="50" vm="6">
        <v>16396.079999999998</v>
      </c>
      <c r="D21" s="50">
        <f t="shared" si="0"/>
        <v>315233.08</v>
      </c>
      <c r="E21" s="51">
        <f>'Bundesbeitrag 2026 (def.)'!$C$9/$D$36*D21</f>
        <v>129075847.99673747</v>
      </c>
      <c r="F21" s="53">
        <f t="shared" si="1"/>
        <v>129075848</v>
      </c>
      <c r="G21" s="69">
        <v>122779395</v>
      </c>
      <c r="H21" s="53">
        <f t="shared" si="2"/>
        <v>6296453</v>
      </c>
      <c r="I21" s="54">
        <f t="shared" si="3"/>
        <v>5.1282652109500948E-2</v>
      </c>
      <c r="J21" s="55" t="s">
        <v>25</v>
      </c>
      <c r="K21" s="40"/>
      <c r="M21" s="56"/>
    </row>
    <row r="22" spans="1:13" s="45" customFormat="1" ht="18" customHeight="1">
      <c r="A22" s="49" t="str">
        <f>IF(Einleitung!$J$5="i","Sciaffusa",IF(Einleitung!$J$5="f","Schaffhouse","Schaffhausen"))</f>
        <v>Schaffhouse</v>
      </c>
      <c r="B22" s="129">
        <v>87111</v>
      </c>
      <c r="C22" s="50" vm="18">
        <v>5017.7</v>
      </c>
      <c r="D22" s="50">
        <f t="shared" si="0"/>
        <v>92128.7</v>
      </c>
      <c r="E22" s="51">
        <f>'Bundesbeitrag 2026 (def.)'!$C$9/$D$36*D22</f>
        <v>37723166.862237379</v>
      </c>
      <c r="F22" s="53">
        <f t="shared" si="1"/>
        <v>37723167</v>
      </c>
      <c r="G22" s="69">
        <v>35781265</v>
      </c>
      <c r="H22" s="53">
        <f t="shared" si="2"/>
        <v>1941902</v>
      </c>
      <c r="I22" s="54">
        <f t="shared" si="3"/>
        <v>5.4271474191871082E-2</v>
      </c>
      <c r="J22" s="55" t="s">
        <v>26</v>
      </c>
      <c r="K22" s="40"/>
      <c r="M22" s="56"/>
    </row>
    <row r="23" spans="1:13" s="45" customFormat="1" ht="18" customHeight="1">
      <c r="A23" s="49" t="str">
        <f>IF(Einleitung!$J$5="i","Appenzello Esterno",IF(Einleitung!$J$5="f","Appenzel Rh.-Ext.","Appenzell A. Rh."))</f>
        <v>Appenzel Rh.-Ext.</v>
      </c>
      <c r="B23" s="129">
        <v>56495</v>
      </c>
      <c r="C23" s="50" vm="4">
        <v>128.85</v>
      </c>
      <c r="D23" s="50">
        <f t="shared" si="0"/>
        <v>56623.85</v>
      </c>
      <c r="E23" s="51">
        <f>'Bundesbeitrag 2026 (def.)'!$C$9/$D$36*D23</f>
        <v>23185293.420316365</v>
      </c>
      <c r="F23" s="53">
        <f t="shared" si="1"/>
        <v>23185293</v>
      </c>
      <c r="G23" s="69">
        <v>22140543</v>
      </c>
      <c r="H23" s="53">
        <f t="shared" si="2"/>
        <v>1044750</v>
      </c>
      <c r="I23" s="54">
        <f t="shared" si="3"/>
        <v>4.7187189582477716E-2</v>
      </c>
      <c r="J23" s="55" t="s">
        <v>27</v>
      </c>
      <c r="K23" s="40"/>
      <c r="M23" s="56"/>
    </row>
    <row r="24" spans="1:13" s="45" customFormat="1" ht="18" customHeight="1">
      <c r="A24" s="49" t="str">
        <f>IF(Einleitung!$J$5="i","Appenzello Interna",IF(Einleitung!$J$5="f","Appenzel Rh.-Int.","Appenzell I. Rh."))</f>
        <v>Appenzel Rh.-Int.</v>
      </c>
      <c r="B24" s="129">
        <v>16585</v>
      </c>
      <c r="C24" s="50" vm="3">
        <v>42.59</v>
      </c>
      <c r="D24" s="50">
        <f t="shared" si="0"/>
        <v>16627.59</v>
      </c>
      <c r="E24" s="51">
        <f>'Bundesbeitrag 2026 (def.)'!$C$9/$D$36*D24</f>
        <v>6808359.9582634913</v>
      </c>
      <c r="F24" s="53">
        <f t="shared" si="1"/>
        <v>6808360</v>
      </c>
      <c r="G24" s="69">
        <v>6508812</v>
      </c>
      <c r="H24" s="53">
        <f t="shared" si="2"/>
        <v>299548</v>
      </c>
      <c r="I24" s="54">
        <f t="shared" si="3"/>
        <v>4.6021916134618729E-2</v>
      </c>
      <c r="J24" s="55" t="s">
        <v>28</v>
      </c>
      <c r="K24" s="40"/>
      <c r="M24" s="56"/>
    </row>
    <row r="25" spans="1:13" s="45" customFormat="1" ht="18" customHeight="1">
      <c r="A25" s="49" t="str">
        <f>IF(Einleitung!$J$5="i","San Gallo",IF(Einleitung!$J$5="f","Saint-Gall","St. Gallen"))</f>
        <v>Saint-Gall</v>
      </c>
      <c r="B25" s="129">
        <v>535114</v>
      </c>
      <c r="C25" s="50" vm="17">
        <v>2337.3000000000002</v>
      </c>
      <c r="D25" s="50">
        <f t="shared" si="0"/>
        <v>537451.30000000005</v>
      </c>
      <c r="E25" s="51">
        <f>'Bundesbeitrag 2026 (def.)'!$C$9/$D$36*D25</f>
        <v>220065680.62098351</v>
      </c>
      <c r="F25" s="53">
        <f t="shared" si="1"/>
        <v>220065681</v>
      </c>
      <c r="G25" s="69">
        <v>209658265</v>
      </c>
      <c r="H25" s="53">
        <f t="shared" si="2"/>
        <v>10407416</v>
      </c>
      <c r="I25" s="54">
        <f t="shared" si="3"/>
        <v>4.963990329691987E-2</v>
      </c>
      <c r="J25" s="55" t="s">
        <v>29</v>
      </c>
      <c r="K25" s="40"/>
      <c r="M25" s="56"/>
    </row>
    <row r="26" spans="1:13" s="45" customFormat="1" ht="18" customHeight="1">
      <c r="A26" s="49" t="str">
        <f>IF(Einleitung!$J$5="i","Grigioni",IF(Einleitung!$J$5="f","Grisons","Graubünden"))</f>
        <v>Grisons</v>
      </c>
      <c r="B26" s="129">
        <v>204888</v>
      </c>
      <c r="C26" s="50" vm="11">
        <v>269.15000000000003</v>
      </c>
      <c r="D26" s="50">
        <f t="shared" si="0"/>
        <v>205157.15</v>
      </c>
      <c r="E26" s="51">
        <f>'Bundesbeitrag 2026 (def.)'!$C$9/$D$36*D26</f>
        <v>84003979.242419183</v>
      </c>
      <c r="F26" s="53">
        <f t="shared" si="1"/>
        <v>84003979</v>
      </c>
      <c r="G26" s="69">
        <v>80257743</v>
      </c>
      <c r="H26" s="53">
        <f t="shared" si="2"/>
        <v>3746236</v>
      </c>
      <c r="I26" s="54">
        <f t="shared" si="3"/>
        <v>4.6677564805180233E-2</v>
      </c>
      <c r="J26" s="55" t="s">
        <v>30</v>
      </c>
      <c r="K26" s="40"/>
      <c r="M26" s="56"/>
    </row>
    <row r="27" spans="1:13" s="45" customFormat="1" ht="18" customHeight="1">
      <c r="A27" s="49" t="str">
        <f>IF(Einleitung!$J$5="i","Argovia",IF(Einleitung!$J$5="f","Argovie","Aargau"))</f>
        <v>Argovie</v>
      </c>
      <c r="B27" s="129">
        <v>726894</v>
      </c>
      <c r="C27" s="50" vm="2">
        <v>13531.05</v>
      </c>
      <c r="D27" s="50">
        <f t="shared" si="0"/>
        <v>740425.05</v>
      </c>
      <c r="E27" s="51">
        <f>'Bundesbeitrag 2026 (def.)'!$C$9/$D$36*D27</f>
        <v>303175641.35964644</v>
      </c>
      <c r="F27" s="53">
        <f t="shared" si="1"/>
        <v>303175641</v>
      </c>
      <c r="G27" s="69">
        <v>288036317</v>
      </c>
      <c r="H27" s="53">
        <f t="shared" si="2"/>
        <v>15139324</v>
      </c>
      <c r="I27" s="54">
        <f t="shared" si="3"/>
        <v>5.2560469310541834E-2</v>
      </c>
      <c r="J27" s="55" t="s">
        <v>31</v>
      </c>
      <c r="K27" s="40"/>
      <c r="M27" s="56"/>
    </row>
    <row r="28" spans="1:13" s="45" customFormat="1" ht="18" customHeight="1">
      <c r="A28" s="49" t="str">
        <f>IF(Einleitung!$J$5="i","Turgovia",IF(Einleitung!$J$5="f","Thurgovie","Thurgau"))</f>
        <v>Thurgovie</v>
      </c>
      <c r="B28" s="129">
        <v>295220</v>
      </c>
      <c r="C28" s="50" vm="21">
        <v>5303.8099999999995</v>
      </c>
      <c r="D28" s="50">
        <f t="shared" si="0"/>
        <v>300523.81</v>
      </c>
      <c r="E28" s="51">
        <f>'Bundesbeitrag 2026 (def.)'!$C$9/$D$36*D28</f>
        <v>123052966.4556791</v>
      </c>
      <c r="F28" s="53">
        <f t="shared" si="1"/>
        <v>123052966</v>
      </c>
      <c r="G28" s="69">
        <v>117037054</v>
      </c>
      <c r="H28" s="53">
        <f t="shared" si="2"/>
        <v>6015912</v>
      </c>
      <c r="I28" s="54">
        <f t="shared" si="3"/>
        <v>5.1401772296831738E-2</v>
      </c>
      <c r="J28" s="55" t="s">
        <v>32</v>
      </c>
      <c r="K28" s="40"/>
      <c r="M28" s="56"/>
    </row>
    <row r="29" spans="1:13" s="45" customFormat="1" ht="18" customHeight="1">
      <c r="A29" s="49" t="str">
        <f>IF(Einleitung!$J$5="i","Ticino",IF(Einleitung!$J$5="f","Tessin","Tessin"))</f>
        <v>Tessin</v>
      </c>
      <c r="B29" s="129">
        <v>357720</v>
      </c>
      <c r="C29" s="50" vm="22">
        <v>615.85000000000014</v>
      </c>
      <c r="D29" s="50">
        <f t="shared" si="0"/>
        <v>358335.85</v>
      </c>
      <c r="E29" s="51">
        <f>'Bundesbeitrag 2026 (def.)'!$C$9/$D$36*D29</f>
        <v>146724778.07970443</v>
      </c>
      <c r="F29" s="53">
        <f t="shared" si="1"/>
        <v>146724778</v>
      </c>
      <c r="G29" s="69">
        <v>140286657</v>
      </c>
      <c r="H29" s="53">
        <f t="shared" si="2"/>
        <v>6438121</v>
      </c>
      <c r="I29" s="54">
        <f t="shared" si="3"/>
        <v>4.5892611155457216E-2</v>
      </c>
      <c r="J29" s="55" t="s">
        <v>33</v>
      </c>
      <c r="K29" s="40"/>
      <c r="M29" s="56"/>
    </row>
    <row r="30" spans="1:13" s="45" customFormat="1" ht="18" customHeight="1">
      <c r="A30" s="49" t="str">
        <f>IF(Einleitung!$J$5="i","Vaud",IF(Einleitung!$J$5="f","Vaud","Waadt"))</f>
        <v>Vaud</v>
      </c>
      <c r="B30" s="129">
        <v>845870</v>
      </c>
      <c r="C30" s="50" vm="24">
        <v>15375.59</v>
      </c>
      <c r="D30" s="50">
        <f t="shared" si="0"/>
        <v>861245.59</v>
      </c>
      <c r="E30" s="51">
        <f>'Bundesbeitrag 2026 (def.)'!$C$9/$D$36*D30</f>
        <v>352647015.54386508</v>
      </c>
      <c r="F30" s="53">
        <f t="shared" si="1"/>
        <v>352647016</v>
      </c>
      <c r="G30" s="69">
        <v>334863503</v>
      </c>
      <c r="H30" s="53">
        <f t="shared" si="2"/>
        <v>17783513</v>
      </c>
      <c r="I30" s="54">
        <f t="shared" si="3"/>
        <v>5.3106751977088411E-2</v>
      </c>
      <c r="J30" s="55" t="s">
        <v>34</v>
      </c>
      <c r="K30" s="40"/>
      <c r="M30" s="56"/>
    </row>
    <row r="31" spans="1:13" s="45" customFormat="1" ht="18" customHeight="1">
      <c r="A31" s="49" t="str">
        <f>IF(Einleitung!$J$5="i","Vallese",IF(Einleitung!$J$5="f","Valais","Wallis"))</f>
        <v>Valais</v>
      </c>
      <c r="B31" s="129">
        <v>365844</v>
      </c>
      <c r="C31" s="50" vm="25">
        <v>1007.0400000000001</v>
      </c>
      <c r="D31" s="50">
        <f t="shared" si="0"/>
        <v>366851.04</v>
      </c>
      <c r="E31" s="51">
        <f>'Bundesbeitrag 2026 (def.)'!$C$9/$D$36*D31</f>
        <v>150211421.58204034</v>
      </c>
      <c r="F31" s="53">
        <f t="shared" si="1"/>
        <v>150211422</v>
      </c>
      <c r="G31" s="69">
        <v>142618350</v>
      </c>
      <c r="H31" s="53">
        <f t="shared" si="2"/>
        <v>7593072</v>
      </c>
      <c r="I31" s="54">
        <f t="shared" si="3"/>
        <v>5.3240498154690473E-2</v>
      </c>
      <c r="J31" s="55" t="s">
        <v>35</v>
      </c>
      <c r="K31" s="40"/>
      <c r="M31" s="56"/>
    </row>
    <row r="32" spans="1:13" s="45" customFormat="1" ht="18" customHeight="1">
      <c r="A32" s="49" t="str">
        <f>IF(Einleitung!$J$5="i","Neuchâtel",IF(Einleitung!$J$5="f","Neuchâtel","Neuenburg"))</f>
        <v>Neuchâtel</v>
      </c>
      <c r="B32" s="129">
        <v>178291</v>
      </c>
      <c r="C32" s="50" vm="14">
        <v>2517.5699999999997</v>
      </c>
      <c r="D32" s="50">
        <f t="shared" si="0"/>
        <v>180808.57</v>
      </c>
      <c r="E32" s="51">
        <f>'Bundesbeitrag 2026 (def.)'!$C$9/$D$36*D32</f>
        <v>74034170.201387063</v>
      </c>
      <c r="F32" s="53">
        <f t="shared" si="1"/>
        <v>74034170</v>
      </c>
      <c r="G32" s="69">
        <v>70587154</v>
      </c>
      <c r="H32" s="53">
        <f t="shared" si="2"/>
        <v>3447016</v>
      </c>
      <c r="I32" s="54">
        <f t="shared" si="3"/>
        <v>4.8833474714110162E-2</v>
      </c>
      <c r="J32" s="55" t="s">
        <v>36</v>
      </c>
      <c r="K32" s="40"/>
      <c r="M32" s="56"/>
    </row>
    <row r="33" spans="1:13" s="45" customFormat="1" ht="18" customHeight="1">
      <c r="A33" s="49" t="str">
        <f>IF(Einleitung!$J$5="i","Ginevra",IF(Einleitung!$J$5="f","Genève","Genf"))</f>
        <v>Genève</v>
      </c>
      <c r="B33" s="129">
        <v>524410</v>
      </c>
      <c r="C33" s="50" vm="9">
        <v>62079.890000000007</v>
      </c>
      <c r="D33" s="50">
        <f t="shared" si="0"/>
        <v>586489.89</v>
      </c>
      <c r="E33" s="51">
        <f>'Bundesbeitrag 2026 (def.)'!$C$9/$D$36*D33</f>
        <v>240145101.18437847</v>
      </c>
      <c r="F33" s="53">
        <f t="shared" si="1"/>
        <v>240145101</v>
      </c>
      <c r="G33" s="69">
        <v>225142083</v>
      </c>
      <c r="H33" s="53">
        <f t="shared" si="2"/>
        <v>15003018</v>
      </c>
      <c r="I33" s="54">
        <f t="shared" si="3"/>
        <v>6.6637999436116077E-2</v>
      </c>
      <c r="J33" s="55" t="s">
        <v>37</v>
      </c>
      <c r="K33" s="40"/>
      <c r="M33" s="56"/>
    </row>
    <row r="34" spans="1:13" s="45" customFormat="1" ht="18" customHeight="1">
      <c r="A34" s="49" t="str">
        <f>IF(Einleitung!$J$5="i","Giura",IF(Einleitung!$J$5="f","Jura","Jura"))</f>
        <v>Jura</v>
      </c>
      <c r="B34" s="129">
        <v>74548</v>
      </c>
      <c r="C34" s="50" vm="12">
        <v>2011.12</v>
      </c>
      <c r="D34" s="50">
        <f t="shared" si="0"/>
        <v>76559.12</v>
      </c>
      <c r="E34" s="51">
        <f>'Bundesbeitrag 2026 (def.)'!$C$9/$D$36*D34</f>
        <v>31348021.393833358</v>
      </c>
      <c r="F34" s="53">
        <f t="shared" si="1"/>
        <v>31348021</v>
      </c>
      <c r="G34" s="69">
        <v>29869548</v>
      </c>
      <c r="H34" s="53">
        <f t="shared" si="2"/>
        <v>1478473</v>
      </c>
      <c r="I34" s="54">
        <f t="shared" si="3"/>
        <v>4.9497668997200761E-2</v>
      </c>
      <c r="J34" s="55" t="s">
        <v>38</v>
      </c>
      <c r="K34" s="40"/>
      <c r="M34" s="56"/>
    </row>
    <row r="35" spans="1:13" s="45" customFormat="1" ht="3" customHeight="1">
      <c r="B35" s="57"/>
      <c r="C35" s="58"/>
      <c r="D35" s="57"/>
      <c r="F35" s="56"/>
      <c r="G35" s="59"/>
      <c r="H35" s="59"/>
      <c r="I35" s="59"/>
      <c r="J35" s="44"/>
      <c r="K35" s="40"/>
    </row>
    <row r="36" spans="1:13" s="45" customFormat="1" ht="18" customHeight="1">
      <c r="A36" s="49" t="str">
        <f>IF(Einleitung!$J$5="i","Totale",IF(Einleitung!$J$5="f","Total RIP Confédération","Total IPV Bund"))</f>
        <v>Total RIP Confédération</v>
      </c>
      <c r="B36" s="60">
        <f t="shared" ref="B36:H36" si="4">SUM(B9:B35)</f>
        <v>8962258</v>
      </c>
      <c r="C36" s="60">
        <f t="shared" si="4"/>
        <v>178102.80000000002</v>
      </c>
      <c r="D36" s="60">
        <f t="shared" si="4"/>
        <v>9140360.7999999989</v>
      </c>
      <c r="E36" s="52">
        <f t="shared" si="4"/>
        <v>3742626951.6388869</v>
      </c>
      <c r="F36" s="53">
        <f t="shared" si="4"/>
        <v>3742626950</v>
      </c>
      <c r="G36" s="52">
        <f>SUM(G9:G35)</f>
        <v>3560787335</v>
      </c>
      <c r="H36" s="53">
        <f t="shared" si="4"/>
        <v>181839615</v>
      </c>
      <c r="I36" s="54">
        <f t="shared" ref="I36" si="5">H36/G36</f>
        <v>5.1067249428980568E-2</v>
      </c>
      <c r="J36" s="44"/>
      <c r="K36" s="40"/>
    </row>
    <row r="38" spans="1:13">
      <c r="D38" s="61"/>
      <c r="E38" s="62"/>
      <c r="F38" s="62"/>
    </row>
    <row r="39" spans="1:13">
      <c r="D39" s="63"/>
      <c r="E39" s="63"/>
      <c r="F39" s="63"/>
      <c r="H39" s="63"/>
    </row>
    <row r="42" spans="1:13">
      <c r="E42" s="39"/>
    </row>
    <row r="43" spans="1:13">
      <c r="E43" s="39"/>
    </row>
    <row r="44" spans="1:13">
      <c r="E44" s="39"/>
    </row>
  </sheetData>
  <sheetProtection sheet="1" objects="1" scenarios="1"/>
  <mergeCells count="1">
    <mergeCell ref="A5:J5"/>
  </mergeCells>
  <printOptions horizontalCentered="1"/>
  <pageMargins left="0.39370078740157483" right="0.39370078740157483" top="0.59055118110236227" bottom="0.19685039370078741" header="0.31496062992125984" footer="0.51181102362204722"/>
  <pageSetup paperSize="9" scale="80" fitToWidth="2" orientation="landscape" r:id="rId1"/>
  <headerFooter alignWithMargins="0"/>
  <colBreaks count="1" manualBreakCount="1">
    <brk id="10" max="1048575" man="1"/>
  </colBreaks>
  <ignoredErrors>
    <ignoredError sqref="H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70D22-0643-42BB-8D70-BD396654658A}">
  <sheetPr>
    <tabColor theme="7" tint="0.79998168889431442"/>
    <pageSetUpPr fitToPage="1"/>
  </sheetPr>
  <dimension ref="A1:G43"/>
  <sheetViews>
    <sheetView showGridLines="0" workbookViewId="0">
      <selection activeCell="E47" sqref="E47"/>
    </sheetView>
  </sheetViews>
  <sheetFormatPr baseColWidth="10" defaultColWidth="11.5703125" defaultRowHeight="12.75"/>
  <cols>
    <col min="1" max="4" width="20.42578125" style="39" customWidth="1"/>
    <col min="5" max="6" width="20.42578125" style="40" customWidth="1"/>
    <col min="7" max="16384" width="11.5703125" style="39"/>
  </cols>
  <sheetData>
    <row r="1" spans="1:7" ht="18" customHeight="1">
      <c r="E1" s="41" t="str">
        <f>+'Aufteilung Bundesbeitrag '!G1</f>
        <v>Département fédéral de l'intérieur DFI</v>
      </c>
    </row>
    <row r="2" spans="1:7">
      <c r="E2" s="42" t="str">
        <f>+'Aufteilung Bundesbeitrag '!G2</f>
        <v>Office fédéral de la santé publique OFSP</v>
      </c>
    </row>
    <row r="3" spans="1:7">
      <c r="E3" s="43" t="str">
        <f>+'Aufteilung Bundesbeitrag '!G3</f>
        <v>Unité de direction Assurance maladie et accidents</v>
      </c>
    </row>
    <row r="4" spans="1:7" ht="59.45" customHeight="1" thickBot="1"/>
    <row r="5" spans="1:7" s="45" customFormat="1" ht="18.75" thickBot="1">
      <c r="A5" s="143" t="str">
        <f>+Übersetzung!B89</f>
        <v>Versements des subsides fédéraux (Réduction des primes) par tranches pour 2026</v>
      </c>
      <c r="B5" s="146"/>
      <c r="C5" s="146"/>
      <c r="D5" s="146"/>
      <c r="E5" s="146"/>
      <c r="F5" s="147"/>
    </row>
    <row r="7" spans="1:7" ht="75" customHeight="1">
      <c r="A7" s="80" t="str">
        <f>+Übersetzung!B90</f>
        <v>Canton</v>
      </c>
      <c r="B7" s="81" t="str">
        <f>+Übersetzung!B91</f>
        <v>1ere tranche mars 2026</v>
      </c>
      <c r="C7" s="81" t="str">
        <f>+Übersetzung!B92</f>
        <v>2ème tranche juin 2026</v>
      </c>
      <c r="D7" s="81" t="str">
        <f>+Übersetzung!B93</f>
        <v>3ème tranche septembre 2026</v>
      </c>
      <c r="E7" s="81" t="str">
        <f>+Übersetzung!B94</f>
        <v>Totale 2026</v>
      </c>
      <c r="F7" s="81" t="str">
        <f>+A7</f>
        <v>Canton</v>
      </c>
    </row>
    <row r="8" spans="1:7" s="45" customFormat="1" ht="18" customHeight="1">
      <c r="A8" s="49" t="str">
        <f>'Aufteilung Bundesbeitrag '!A9</f>
        <v>Zurich</v>
      </c>
      <c r="B8" s="51">
        <f>ROUND('Aufteilung Bundesbeitrag '!$F9/3,0)</f>
        <v>220952917</v>
      </c>
      <c r="C8" s="51">
        <f>ROUND('Aufteilung Bundesbeitrag '!$F9/3,0)</f>
        <v>220952917</v>
      </c>
      <c r="D8" s="51">
        <f>ROUND('Aufteilung Bundesbeitrag '!$F9-SUM(B8:C8),0)</f>
        <v>220952917</v>
      </c>
      <c r="E8" s="51">
        <f>SUM(B8:D8)</f>
        <v>662858751</v>
      </c>
      <c r="F8" s="55" t="s">
        <v>39</v>
      </c>
      <c r="G8" s="39"/>
    </row>
    <row r="9" spans="1:7" s="45" customFormat="1" ht="18" customHeight="1">
      <c r="A9" s="49" t="str">
        <f>'Aufteilung Bundesbeitrag '!A10</f>
        <v>Berne</v>
      </c>
      <c r="B9" s="51">
        <f>ROUND('Aufteilung Bundesbeitrag '!$F10/3,0)</f>
        <v>145540952</v>
      </c>
      <c r="C9" s="51">
        <f>ROUND('Aufteilung Bundesbeitrag '!$F10/3,0)</f>
        <v>145540952</v>
      </c>
      <c r="D9" s="51">
        <f>ROUND('Aufteilung Bundesbeitrag '!$F10-SUM(B9:C9),0)</f>
        <v>145540953</v>
      </c>
      <c r="E9" s="51">
        <f t="shared" ref="E9:E33" si="0">SUM(B9:D9)</f>
        <v>436622857</v>
      </c>
      <c r="F9" s="55" t="s">
        <v>14</v>
      </c>
      <c r="G9" s="39"/>
    </row>
    <row r="10" spans="1:7" s="45" customFormat="1" ht="18" customHeight="1">
      <c r="A10" s="49" t="str">
        <f>'Aufteilung Bundesbeitrag '!A11</f>
        <v>Lucerne</v>
      </c>
      <c r="B10" s="51">
        <f>ROUND('Aufteilung Bundesbeitrag '!$F11/3,0)</f>
        <v>59161552</v>
      </c>
      <c r="C10" s="51">
        <f>ROUND('Aufteilung Bundesbeitrag '!$F11/3,0)</f>
        <v>59161552</v>
      </c>
      <c r="D10" s="51">
        <f>ROUND('Aufteilung Bundesbeitrag '!$F11-SUM(B10:C10),0)</f>
        <v>59161553</v>
      </c>
      <c r="E10" s="51">
        <f t="shared" si="0"/>
        <v>177484657</v>
      </c>
      <c r="F10" s="55" t="s">
        <v>15</v>
      </c>
      <c r="G10" s="39"/>
    </row>
    <row r="11" spans="1:7" s="45" customFormat="1" ht="18" customHeight="1">
      <c r="A11" s="49" t="str">
        <f>'Aufteilung Bundesbeitrag '!A12</f>
        <v>Uri</v>
      </c>
      <c r="B11" s="51">
        <f>ROUND('Aufteilung Bundesbeitrag '!$F12/3,0)</f>
        <v>5179816</v>
      </c>
      <c r="C11" s="51">
        <f>ROUND('Aufteilung Bundesbeitrag '!$F12/3,0)</f>
        <v>5179816</v>
      </c>
      <c r="D11" s="51">
        <f>ROUND('Aufteilung Bundesbeitrag '!$F12-SUM(B11:C11),0)</f>
        <v>5179817</v>
      </c>
      <c r="E11" s="51">
        <f t="shared" si="0"/>
        <v>15539449</v>
      </c>
      <c r="F11" s="55" t="s">
        <v>16</v>
      </c>
      <c r="G11" s="39"/>
    </row>
    <row r="12" spans="1:7" s="45" customFormat="1" ht="18" customHeight="1">
      <c r="A12" s="49" t="str">
        <f>'Aufteilung Bundesbeitrag '!A13</f>
        <v>Schwyz</v>
      </c>
      <c r="B12" s="51">
        <f>ROUND('Aufteilung Bundesbeitrag '!$F13/3,0)</f>
        <v>22889943</v>
      </c>
      <c r="C12" s="51">
        <f>ROUND('Aufteilung Bundesbeitrag '!$F13/3,0)</f>
        <v>22889943</v>
      </c>
      <c r="D12" s="51">
        <f>ROUND('Aufteilung Bundesbeitrag '!$F13-SUM(B12:C12),0)</f>
        <v>22889944</v>
      </c>
      <c r="E12" s="51">
        <f t="shared" si="0"/>
        <v>68669830</v>
      </c>
      <c r="F12" s="55" t="s">
        <v>17</v>
      </c>
      <c r="G12" s="39"/>
    </row>
    <row r="13" spans="1:7" s="45" customFormat="1" ht="18" customHeight="1">
      <c r="A13" s="49" t="str">
        <f>'Aufteilung Bundesbeitrag '!A14</f>
        <v>Obwald</v>
      </c>
      <c r="B13" s="51">
        <f>ROUND('Aufteilung Bundesbeitrag '!$F14/3,0)</f>
        <v>5369027</v>
      </c>
      <c r="C13" s="51">
        <f>ROUND('Aufteilung Bundesbeitrag '!$F14/3,0)</f>
        <v>5369027</v>
      </c>
      <c r="D13" s="51">
        <f>ROUND('Aufteilung Bundesbeitrag '!$F14-SUM(B13:C13),0)</f>
        <v>5369028</v>
      </c>
      <c r="E13" s="51">
        <f t="shared" si="0"/>
        <v>16107082</v>
      </c>
      <c r="F13" s="55" t="s">
        <v>18</v>
      </c>
      <c r="G13" s="39"/>
    </row>
    <row r="14" spans="1:7" s="45" customFormat="1" ht="18" customHeight="1">
      <c r="A14" s="49" t="str">
        <f>'Aufteilung Bundesbeitrag '!A15</f>
        <v>Nidwald</v>
      </c>
      <c r="B14" s="51">
        <f>ROUND('Aufteilung Bundesbeitrag '!$F15/3,0)</f>
        <v>6153861</v>
      </c>
      <c r="C14" s="51">
        <f>ROUND('Aufteilung Bundesbeitrag '!$F15/3,0)</f>
        <v>6153861</v>
      </c>
      <c r="D14" s="51">
        <f>ROUND('Aufteilung Bundesbeitrag '!$F15-SUM(B14:C14),0)</f>
        <v>6153862</v>
      </c>
      <c r="E14" s="51">
        <f t="shared" si="0"/>
        <v>18461584</v>
      </c>
      <c r="F14" s="55" t="s">
        <v>19</v>
      </c>
      <c r="G14" s="39"/>
    </row>
    <row r="15" spans="1:7" s="45" customFormat="1" ht="18" customHeight="1">
      <c r="A15" s="49" t="str">
        <f>'Aufteilung Bundesbeitrag '!A16</f>
        <v>Glaris</v>
      </c>
      <c r="B15" s="51">
        <f>ROUND('Aufteilung Bundesbeitrag '!$F16/3,0)</f>
        <v>5746915</v>
      </c>
      <c r="C15" s="51">
        <f>ROUND('Aufteilung Bundesbeitrag '!$F16/3,0)</f>
        <v>5746915</v>
      </c>
      <c r="D15" s="51">
        <f>ROUND('Aufteilung Bundesbeitrag '!$F16-SUM(B15:C15),0)</f>
        <v>5746916</v>
      </c>
      <c r="E15" s="51">
        <f t="shared" si="0"/>
        <v>17240746</v>
      </c>
      <c r="F15" s="55" t="s">
        <v>20</v>
      </c>
      <c r="G15" s="39"/>
    </row>
    <row r="16" spans="1:7" s="45" customFormat="1" ht="18" customHeight="1">
      <c r="A16" s="49" t="str">
        <f>'Aufteilung Bundesbeitrag '!A17</f>
        <v>Zoug</v>
      </c>
      <c r="B16" s="51">
        <f>ROUND('Aufteilung Bundesbeitrag '!$F17/3,0)</f>
        <v>18250280</v>
      </c>
      <c r="C16" s="51">
        <f>ROUND('Aufteilung Bundesbeitrag '!$F17/3,0)</f>
        <v>18250280</v>
      </c>
      <c r="D16" s="51">
        <f>ROUND('Aufteilung Bundesbeitrag '!$F17-SUM(B16:C16),0)</f>
        <v>18250281</v>
      </c>
      <c r="E16" s="51">
        <f t="shared" si="0"/>
        <v>54750841</v>
      </c>
      <c r="F16" s="55" t="s">
        <v>21</v>
      </c>
    </row>
    <row r="17" spans="1:6" s="45" customFormat="1" ht="18" customHeight="1">
      <c r="A17" s="49" t="str">
        <f>'Aufteilung Bundesbeitrag '!A18</f>
        <v>Fribourg</v>
      </c>
      <c r="B17" s="51">
        <f>ROUND('Aufteilung Bundesbeitrag '!$F18/3,0)</f>
        <v>46742546</v>
      </c>
      <c r="C17" s="51">
        <f>ROUND('Aufteilung Bundesbeitrag '!$F18/3,0)</f>
        <v>46742546</v>
      </c>
      <c r="D17" s="51">
        <f>ROUND('Aufteilung Bundesbeitrag '!$F18-SUM(B17:C17),0)</f>
        <v>46742546</v>
      </c>
      <c r="E17" s="51">
        <f t="shared" si="0"/>
        <v>140227638</v>
      </c>
      <c r="F17" s="55" t="s">
        <v>22</v>
      </c>
    </row>
    <row r="18" spans="1:6" s="45" customFormat="1" ht="18" customHeight="1">
      <c r="A18" s="49" t="str">
        <f>'Aufteilung Bundesbeitrag '!A19</f>
        <v>Soleure</v>
      </c>
      <c r="B18" s="51">
        <f>ROUND('Aufteilung Bundesbeitrag '!$F19/3,0)</f>
        <v>39368101</v>
      </c>
      <c r="C18" s="51">
        <f>ROUND('Aufteilung Bundesbeitrag '!$F19/3,0)</f>
        <v>39368101</v>
      </c>
      <c r="D18" s="51">
        <f>ROUND('Aufteilung Bundesbeitrag '!$F19-SUM(B18:C18),0)</f>
        <v>39368101</v>
      </c>
      <c r="E18" s="51">
        <f t="shared" si="0"/>
        <v>118104303</v>
      </c>
      <c r="F18" s="55" t="s">
        <v>23</v>
      </c>
    </row>
    <row r="19" spans="1:6" s="45" customFormat="1" ht="18" customHeight="1">
      <c r="A19" s="49" t="str">
        <f>'Aufteilung Bundesbeitrag '!A20</f>
        <v>Bâle-Ville</v>
      </c>
      <c r="B19" s="51">
        <f>ROUND('Aufteilung Bundesbeitrag '!$F20/3,0)</f>
        <v>31452590</v>
      </c>
      <c r="C19" s="51">
        <f>ROUND('Aufteilung Bundesbeitrag '!$F20/3,0)</f>
        <v>31452590</v>
      </c>
      <c r="D19" s="51">
        <f>ROUND('Aufteilung Bundesbeitrag '!$F20-SUM(B19:C19),0)</f>
        <v>31452589</v>
      </c>
      <c r="E19" s="51">
        <f t="shared" si="0"/>
        <v>94357769</v>
      </c>
      <c r="F19" s="55" t="s">
        <v>24</v>
      </c>
    </row>
    <row r="20" spans="1:6" s="45" customFormat="1" ht="18" customHeight="1">
      <c r="A20" s="49" t="str">
        <f>'Aufteilung Bundesbeitrag '!A21</f>
        <v>Bâle-Campagne</v>
      </c>
      <c r="B20" s="51">
        <f>ROUND('Aufteilung Bundesbeitrag '!$F21/3,0)</f>
        <v>43025283</v>
      </c>
      <c r="C20" s="51">
        <f>ROUND('Aufteilung Bundesbeitrag '!$F21/3,0)</f>
        <v>43025283</v>
      </c>
      <c r="D20" s="51">
        <f>ROUND('Aufteilung Bundesbeitrag '!$F21-SUM(B20:C20),0)</f>
        <v>43025282</v>
      </c>
      <c r="E20" s="51">
        <f t="shared" si="0"/>
        <v>129075848</v>
      </c>
      <c r="F20" s="55" t="s">
        <v>25</v>
      </c>
    </row>
    <row r="21" spans="1:6" s="45" customFormat="1" ht="18" customHeight="1">
      <c r="A21" s="49" t="str">
        <f>'Aufteilung Bundesbeitrag '!A22</f>
        <v>Schaffhouse</v>
      </c>
      <c r="B21" s="51">
        <f>ROUND('Aufteilung Bundesbeitrag '!$F22/3,0)</f>
        <v>12574389</v>
      </c>
      <c r="C21" s="51">
        <f>ROUND('Aufteilung Bundesbeitrag '!$F22/3,0)</f>
        <v>12574389</v>
      </c>
      <c r="D21" s="51">
        <f>ROUND('Aufteilung Bundesbeitrag '!$F22-SUM(B21:C21),0)</f>
        <v>12574389</v>
      </c>
      <c r="E21" s="51">
        <f t="shared" si="0"/>
        <v>37723167</v>
      </c>
      <c r="F21" s="55" t="s">
        <v>26</v>
      </c>
    </row>
    <row r="22" spans="1:6" s="45" customFormat="1" ht="18" customHeight="1">
      <c r="A22" s="49" t="str">
        <f>'Aufteilung Bundesbeitrag '!A23</f>
        <v>Appenzel Rh.-Ext.</v>
      </c>
      <c r="B22" s="51">
        <f>ROUND('Aufteilung Bundesbeitrag '!$F23/3,0)</f>
        <v>7728431</v>
      </c>
      <c r="C22" s="51">
        <f>ROUND('Aufteilung Bundesbeitrag '!$F23/3,0)</f>
        <v>7728431</v>
      </c>
      <c r="D22" s="51">
        <f>ROUND('Aufteilung Bundesbeitrag '!$F23-SUM(B22:C22),0)</f>
        <v>7728431</v>
      </c>
      <c r="E22" s="51">
        <f t="shared" si="0"/>
        <v>23185293</v>
      </c>
      <c r="F22" s="55" t="s">
        <v>27</v>
      </c>
    </row>
    <row r="23" spans="1:6" s="45" customFormat="1" ht="18" customHeight="1">
      <c r="A23" s="49" t="str">
        <f>'Aufteilung Bundesbeitrag '!A24</f>
        <v>Appenzel Rh.-Int.</v>
      </c>
      <c r="B23" s="51">
        <f>ROUND('Aufteilung Bundesbeitrag '!$F24/3,0)</f>
        <v>2269453</v>
      </c>
      <c r="C23" s="51">
        <f>ROUND('Aufteilung Bundesbeitrag '!$F24/3,0)</f>
        <v>2269453</v>
      </c>
      <c r="D23" s="51">
        <f>ROUND('Aufteilung Bundesbeitrag '!$F24-SUM(B23:C23),0)</f>
        <v>2269454</v>
      </c>
      <c r="E23" s="51">
        <f t="shared" si="0"/>
        <v>6808360</v>
      </c>
      <c r="F23" s="55" t="s">
        <v>28</v>
      </c>
    </row>
    <row r="24" spans="1:6" s="45" customFormat="1" ht="18" customHeight="1">
      <c r="A24" s="49" t="str">
        <f>'Aufteilung Bundesbeitrag '!A25</f>
        <v>Saint-Gall</v>
      </c>
      <c r="B24" s="51">
        <f>ROUND('Aufteilung Bundesbeitrag '!$F25/3,0)</f>
        <v>73355227</v>
      </c>
      <c r="C24" s="51">
        <f>ROUND('Aufteilung Bundesbeitrag '!$F25/3,0)</f>
        <v>73355227</v>
      </c>
      <c r="D24" s="51">
        <f>ROUND('Aufteilung Bundesbeitrag '!$F25-SUM(B24:C24),0)</f>
        <v>73355227</v>
      </c>
      <c r="E24" s="51">
        <f t="shared" si="0"/>
        <v>220065681</v>
      </c>
      <c r="F24" s="55" t="s">
        <v>29</v>
      </c>
    </row>
    <row r="25" spans="1:6" s="45" customFormat="1" ht="18" customHeight="1">
      <c r="A25" s="49" t="str">
        <f>'Aufteilung Bundesbeitrag '!A26</f>
        <v>Grisons</v>
      </c>
      <c r="B25" s="51">
        <f>ROUND('Aufteilung Bundesbeitrag '!$F26/3,0)</f>
        <v>28001326</v>
      </c>
      <c r="C25" s="51">
        <f>ROUND('Aufteilung Bundesbeitrag '!$F26/3,0)</f>
        <v>28001326</v>
      </c>
      <c r="D25" s="51">
        <f>ROUND('Aufteilung Bundesbeitrag '!$F26-SUM(B25:C25),0)</f>
        <v>28001327</v>
      </c>
      <c r="E25" s="51">
        <f t="shared" si="0"/>
        <v>84003979</v>
      </c>
      <c r="F25" s="55" t="s">
        <v>30</v>
      </c>
    </row>
    <row r="26" spans="1:6" s="45" customFormat="1" ht="18" customHeight="1">
      <c r="A26" s="49" t="str">
        <f>'Aufteilung Bundesbeitrag '!A27</f>
        <v>Argovie</v>
      </c>
      <c r="B26" s="51">
        <f>ROUND('Aufteilung Bundesbeitrag '!$F27/3,0)</f>
        <v>101058547</v>
      </c>
      <c r="C26" s="51">
        <f>ROUND('Aufteilung Bundesbeitrag '!$F27/3,0)</f>
        <v>101058547</v>
      </c>
      <c r="D26" s="51">
        <f>ROUND('Aufteilung Bundesbeitrag '!$F27-SUM(B26:C26),0)</f>
        <v>101058547</v>
      </c>
      <c r="E26" s="51">
        <f t="shared" si="0"/>
        <v>303175641</v>
      </c>
      <c r="F26" s="55" t="s">
        <v>31</v>
      </c>
    </row>
    <row r="27" spans="1:6" s="45" customFormat="1" ht="18" customHeight="1">
      <c r="A27" s="49" t="str">
        <f>'Aufteilung Bundesbeitrag '!A28</f>
        <v>Thurgovie</v>
      </c>
      <c r="B27" s="51">
        <f>ROUND('Aufteilung Bundesbeitrag '!$F28/3,0)</f>
        <v>41017655</v>
      </c>
      <c r="C27" s="51">
        <f>ROUND('Aufteilung Bundesbeitrag '!$F28/3,0)</f>
        <v>41017655</v>
      </c>
      <c r="D27" s="51">
        <f>ROUND('Aufteilung Bundesbeitrag '!$F28-SUM(B27:C27),0)</f>
        <v>41017656</v>
      </c>
      <c r="E27" s="51">
        <f t="shared" si="0"/>
        <v>123052966</v>
      </c>
      <c r="F27" s="55" t="s">
        <v>32</v>
      </c>
    </row>
    <row r="28" spans="1:6" s="45" customFormat="1" ht="18" customHeight="1">
      <c r="A28" s="49" t="str">
        <f>'Aufteilung Bundesbeitrag '!A29</f>
        <v>Tessin</v>
      </c>
      <c r="B28" s="51">
        <f>ROUND('Aufteilung Bundesbeitrag '!$F29/3,0)</f>
        <v>48908259</v>
      </c>
      <c r="C28" s="51">
        <f>ROUND('Aufteilung Bundesbeitrag '!$F29/3,0)</f>
        <v>48908259</v>
      </c>
      <c r="D28" s="51">
        <f>ROUND('Aufteilung Bundesbeitrag '!$F29-SUM(B28:C28),0)</f>
        <v>48908260</v>
      </c>
      <c r="E28" s="51">
        <f t="shared" si="0"/>
        <v>146724778</v>
      </c>
      <c r="F28" s="55" t="s">
        <v>33</v>
      </c>
    </row>
    <row r="29" spans="1:6" s="45" customFormat="1" ht="18" customHeight="1">
      <c r="A29" s="49" t="str">
        <f>'Aufteilung Bundesbeitrag '!A30</f>
        <v>Vaud</v>
      </c>
      <c r="B29" s="51">
        <f>ROUND('Aufteilung Bundesbeitrag '!$F30/3,0)</f>
        <v>117549005</v>
      </c>
      <c r="C29" s="51">
        <f>ROUND('Aufteilung Bundesbeitrag '!$F30/3,0)</f>
        <v>117549005</v>
      </c>
      <c r="D29" s="51">
        <f>ROUND('Aufteilung Bundesbeitrag '!$F30-SUM(B29:C29),0)</f>
        <v>117549006</v>
      </c>
      <c r="E29" s="51">
        <f t="shared" si="0"/>
        <v>352647016</v>
      </c>
      <c r="F29" s="55" t="s">
        <v>34</v>
      </c>
    </row>
    <row r="30" spans="1:6" s="45" customFormat="1" ht="18" customHeight="1">
      <c r="A30" s="49" t="str">
        <f>'Aufteilung Bundesbeitrag '!A31</f>
        <v>Valais</v>
      </c>
      <c r="B30" s="51">
        <f>ROUND('Aufteilung Bundesbeitrag '!$F31/3,0)</f>
        <v>50070474</v>
      </c>
      <c r="C30" s="51">
        <f>ROUND('Aufteilung Bundesbeitrag '!$F31/3,0)</f>
        <v>50070474</v>
      </c>
      <c r="D30" s="51">
        <f>ROUND('Aufteilung Bundesbeitrag '!$F31-SUM(B30:C30),0)</f>
        <v>50070474</v>
      </c>
      <c r="E30" s="51">
        <f t="shared" si="0"/>
        <v>150211422</v>
      </c>
      <c r="F30" s="55" t="s">
        <v>35</v>
      </c>
    </row>
    <row r="31" spans="1:6" s="45" customFormat="1" ht="18" customHeight="1">
      <c r="A31" s="49" t="str">
        <f>'Aufteilung Bundesbeitrag '!A32</f>
        <v>Neuchâtel</v>
      </c>
      <c r="B31" s="51">
        <f>ROUND('Aufteilung Bundesbeitrag '!$F32/3,0)</f>
        <v>24678057</v>
      </c>
      <c r="C31" s="51">
        <f>ROUND('Aufteilung Bundesbeitrag '!$F32/3,0)</f>
        <v>24678057</v>
      </c>
      <c r="D31" s="51">
        <f>ROUND('Aufteilung Bundesbeitrag '!$F32-SUM(B31:C31),0)</f>
        <v>24678056</v>
      </c>
      <c r="E31" s="51">
        <f t="shared" si="0"/>
        <v>74034170</v>
      </c>
      <c r="F31" s="55" t="s">
        <v>36</v>
      </c>
    </row>
    <row r="32" spans="1:6" s="45" customFormat="1" ht="18" customHeight="1">
      <c r="A32" s="49" t="str">
        <f>'Aufteilung Bundesbeitrag '!A33</f>
        <v>Genève</v>
      </c>
      <c r="B32" s="51">
        <f>ROUND('Aufteilung Bundesbeitrag '!$F33/3,0)</f>
        <v>80048367</v>
      </c>
      <c r="C32" s="51">
        <f>ROUND('Aufteilung Bundesbeitrag '!$F33/3,0)</f>
        <v>80048367</v>
      </c>
      <c r="D32" s="51">
        <f>ROUND('Aufteilung Bundesbeitrag '!$F33-SUM(B32:C32),0)</f>
        <v>80048367</v>
      </c>
      <c r="E32" s="51">
        <f t="shared" si="0"/>
        <v>240145101</v>
      </c>
      <c r="F32" s="55" t="s">
        <v>37</v>
      </c>
    </row>
    <row r="33" spans="1:6" s="45" customFormat="1" ht="18" customHeight="1">
      <c r="A33" s="49" t="str">
        <f>'Aufteilung Bundesbeitrag '!A34</f>
        <v>Jura</v>
      </c>
      <c r="B33" s="51">
        <f>ROUND('Aufteilung Bundesbeitrag '!$F34/3,0)</f>
        <v>10449340</v>
      </c>
      <c r="C33" s="51">
        <f>ROUND('Aufteilung Bundesbeitrag '!$F34/3,0)</f>
        <v>10449340</v>
      </c>
      <c r="D33" s="51">
        <f>ROUND('Aufteilung Bundesbeitrag '!$F34-SUM(B33:C33),0)</f>
        <v>10449341</v>
      </c>
      <c r="E33" s="51">
        <f t="shared" si="0"/>
        <v>31348021</v>
      </c>
      <c r="F33" s="55" t="s">
        <v>38</v>
      </c>
    </row>
    <row r="34" spans="1:6" s="45" customFormat="1" ht="3" customHeight="1">
      <c r="B34" s="44"/>
      <c r="C34" s="64"/>
      <c r="D34" s="65"/>
      <c r="F34" s="44"/>
    </row>
    <row r="35" spans="1:6" s="45" customFormat="1" ht="18" customHeight="1">
      <c r="B35" s="52">
        <f>SUM(B8:B34)</f>
        <v>1247542313</v>
      </c>
      <c r="C35" s="52">
        <f>SUM(C8:C34)</f>
        <v>1247542313</v>
      </c>
      <c r="D35" s="52">
        <f>SUM(D8:D34)</f>
        <v>1247542324</v>
      </c>
      <c r="E35" s="52">
        <f>SUM(E8:E34)</f>
        <v>3742626950</v>
      </c>
      <c r="F35" s="44"/>
    </row>
    <row r="37" spans="1:6">
      <c r="D37" s="61" t="s">
        <v>49</v>
      </c>
      <c r="E37" s="63"/>
    </row>
    <row r="38" spans="1:6">
      <c r="E38" s="63"/>
    </row>
    <row r="41" spans="1:6">
      <c r="E41" s="39"/>
    </row>
    <row r="42" spans="1:6">
      <c r="E42" s="39"/>
    </row>
    <row r="43" spans="1:6">
      <c r="E43" s="39"/>
    </row>
  </sheetData>
  <sheetProtection sheet="1" objects="1" scenarios="1"/>
  <mergeCells count="1">
    <mergeCell ref="A5:F5"/>
  </mergeCells>
  <printOptions horizontalCentered="1"/>
  <pageMargins left="0.39370078740157483" right="0.39370078740157483" top="0.59055118110236227" bottom="0.19685039370078741" header="0.31496062992125984" footer="0.51181102362204722"/>
  <pageSetup paperSize="9" scale="7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A12A3-BB7A-443E-86BE-68353F2A442C}">
  <sheetPr>
    <tabColor theme="8" tint="0.79998168889431442"/>
  </sheetPr>
  <dimension ref="A1"/>
  <sheetViews>
    <sheetView workbookViewId="0"/>
  </sheetViews>
  <sheetFormatPr baseColWidth="10" defaultRowHeight="15"/>
  <sheetData/>
  <sheetProtection sheet="1" objects="1" scenarios="1"/>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66E63-093D-46B1-9C74-984CB6D97016}">
  <sheetPr>
    <tabColor theme="8" tint="0.79998168889431442"/>
  </sheetPr>
  <dimension ref="A1:AC26004"/>
  <sheetViews>
    <sheetView showGridLines="0" zoomScale="110" zoomScaleNormal="110" workbookViewId="0">
      <selection activeCell="A33" sqref="A33"/>
    </sheetView>
  </sheetViews>
  <sheetFormatPr baseColWidth="10" defaultColWidth="10.85546875" defaultRowHeight="15"/>
  <cols>
    <col min="1" max="1" width="76.7109375" bestFit="1" customWidth="1"/>
    <col min="2" max="2" width="8.28515625" style="90" customWidth="1"/>
    <col min="3" max="29" width="12.7109375" customWidth="1"/>
  </cols>
  <sheetData>
    <row r="1" spans="1:29">
      <c r="B1"/>
    </row>
    <row r="2" spans="1:29">
      <c r="A2" s="104" t="str">
        <f>+Übersetzung!B12</f>
        <v xml:space="preserve">Année d’exécution </v>
      </c>
      <c r="B2" s="83">
        <v>2026</v>
      </c>
    </row>
    <row r="3" spans="1:29" s="9" customFormat="1">
      <c r="A3" s="84"/>
      <c r="B3" s="85"/>
      <c r="C3" s="94" t="s">
        <v>39</v>
      </c>
      <c r="D3" s="94" t="s">
        <v>14</v>
      </c>
      <c r="E3" s="94" t="s">
        <v>15</v>
      </c>
      <c r="F3" s="94" t="s">
        <v>16</v>
      </c>
      <c r="G3" s="94" t="s">
        <v>17</v>
      </c>
      <c r="H3" s="94" t="s">
        <v>18</v>
      </c>
      <c r="I3" s="94" t="s">
        <v>19</v>
      </c>
      <c r="J3" s="94" t="s">
        <v>20</v>
      </c>
      <c r="K3" s="94" t="s">
        <v>21</v>
      </c>
      <c r="L3" s="94" t="s">
        <v>22</v>
      </c>
      <c r="M3" s="94" t="s">
        <v>23</v>
      </c>
      <c r="N3" s="94" t="s">
        <v>24</v>
      </c>
      <c r="O3" s="94" t="s">
        <v>25</v>
      </c>
      <c r="P3" s="94" t="s">
        <v>26</v>
      </c>
      <c r="Q3" s="94" t="s">
        <v>27</v>
      </c>
      <c r="R3" s="94" t="s">
        <v>28</v>
      </c>
      <c r="S3" s="94" t="s">
        <v>29</v>
      </c>
      <c r="T3" s="94" t="s">
        <v>30</v>
      </c>
      <c r="U3" s="94" t="s">
        <v>31</v>
      </c>
      <c r="V3" s="94" t="s">
        <v>32</v>
      </c>
      <c r="W3" s="94" t="s">
        <v>33</v>
      </c>
      <c r="X3" s="94" t="s">
        <v>34</v>
      </c>
      <c r="Y3" s="94" t="s">
        <v>35</v>
      </c>
      <c r="Z3" s="94" t="s">
        <v>36</v>
      </c>
      <c r="AA3" s="94" t="s">
        <v>37</v>
      </c>
      <c r="AB3" s="94" t="s">
        <v>38</v>
      </c>
      <c r="AC3" s="94" t="s">
        <v>1</v>
      </c>
    </row>
    <row r="4" spans="1:29">
      <c r="A4" s="105" t="str">
        <f>+Übersetzung!B13</f>
        <v>Nombre de contribuables (AFC):</v>
      </c>
      <c r="B4" s="88">
        <f>+B2-5</f>
        <v>2021</v>
      </c>
      <c r="C4" s="95">
        <f>+_xlfn.XLOOKUP(C3,Einkommensdaten!$A$3:$A$29,Einkommensdaten!$B$3:$B$29)</f>
        <v>1494540</v>
      </c>
      <c r="D4" s="95">
        <f>+_xlfn.XLOOKUP(D3,Einkommensdaten!$A$3:$A$29,Einkommensdaten!$B$3:$B$29)</f>
        <v>1012822</v>
      </c>
      <c r="E4" s="95">
        <f>+_xlfn.XLOOKUP(E3,Einkommensdaten!$A$3:$A$29,Einkommensdaten!$B$3:$B$29)</f>
        <v>398856</v>
      </c>
      <c r="F4" s="95">
        <f>+_xlfn.XLOOKUP(F3,Einkommensdaten!$A$3:$A$29,Einkommensdaten!$B$3:$B$29)</f>
        <v>35679</v>
      </c>
      <c r="G4" s="95">
        <f>+_xlfn.XLOOKUP(G3,Einkommensdaten!$A$3:$A$29,Einkommensdaten!$B$3:$B$29)</f>
        <v>163648</v>
      </c>
      <c r="H4" s="95">
        <f>+_xlfn.XLOOKUP(H3,Einkommensdaten!$A$3:$A$29,Einkommensdaten!$B$3:$B$29)</f>
        <v>37912</v>
      </c>
      <c r="I4" s="95">
        <f>+_xlfn.XLOOKUP(I3,Einkommensdaten!$A$3:$A$29,Einkommensdaten!$B$3:$B$29)</f>
        <v>41055</v>
      </c>
      <c r="J4" s="95">
        <f>+_xlfn.XLOOKUP(J3,Einkommensdaten!$A$3:$A$29,Einkommensdaten!$B$3:$B$29)</f>
        <v>38506</v>
      </c>
      <c r="K4" s="95">
        <f>+_xlfn.XLOOKUP(K3,Einkommensdaten!$A$3:$A$29,Einkommensdaten!$B$3:$B$29)</f>
        <v>127562</v>
      </c>
      <c r="L4" s="95">
        <f>+_xlfn.XLOOKUP(L3,Einkommensdaten!$A$3:$A$29,Einkommensdaten!$B$3:$B$29)</f>
        <v>328138</v>
      </c>
      <c r="M4" s="95">
        <f>+_xlfn.XLOOKUP(M3,Einkommensdaten!$A$3:$A$29,Einkommensdaten!$B$3:$B$29)</f>
        <v>268815</v>
      </c>
      <c r="N4" s="95">
        <f>+_xlfn.XLOOKUP(N3,Einkommensdaten!$A$3:$A$29,Einkommensdaten!$B$3:$B$29)</f>
        <v>161664</v>
      </c>
      <c r="O4" s="95">
        <f>+_xlfn.XLOOKUP(O3,Einkommensdaten!$A$3:$A$29,Einkommensdaten!$B$3:$B$29)</f>
        <v>299207</v>
      </c>
      <c r="P4" s="95">
        <f>+_xlfn.XLOOKUP(P3,Einkommensdaten!$A$3:$A$29,Einkommensdaten!$B$3:$B$29)</f>
        <v>81671</v>
      </c>
      <c r="Q4" s="95">
        <f>+_xlfn.XLOOKUP(Q3,Einkommensdaten!$A$3:$A$29,Einkommensdaten!$B$3:$B$29)</f>
        <v>56877</v>
      </c>
      <c r="R4" s="95">
        <f>+_xlfn.XLOOKUP(R3,Einkommensdaten!$A$3:$A$29,Einkommensdaten!$B$3:$B$29)</f>
        <v>15829</v>
      </c>
      <c r="S4" s="95">
        <f>+_xlfn.XLOOKUP(S3,Einkommensdaten!$A$3:$A$29,Einkommensdaten!$B$3:$B$29)</f>
        <v>515925</v>
      </c>
      <c r="T4" s="95">
        <f>+_xlfn.XLOOKUP(T3,Einkommensdaten!$A$3:$A$29,Einkommensdaten!$B$3:$B$29)</f>
        <v>215682</v>
      </c>
      <c r="U4" s="95">
        <f>+_xlfn.XLOOKUP(U3,Einkommensdaten!$A$3:$A$29,Einkommensdaten!$B$3:$B$29)</f>
        <v>660529</v>
      </c>
      <c r="V4" s="95">
        <f>+_xlfn.XLOOKUP(V3,Einkommensdaten!$A$3:$A$29,Einkommensdaten!$B$3:$B$29)</f>
        <v>280292</v>
      </c>
      <c r="W4" s="95">
        <f>+_xlfn.XLOOKUP(W3,Einkommensdaten!$A$3:$A$29,Einkommensdaten!$B$3:$B$29)</f>
        <v>349858</v>
      </c>
      <c r="X4" s="95">
        <f>+_xlfn.XLOOKUP(X3,Einkommensdaten!$A$3:$A$29,Einkommensdaten!$B$3:$B$29)</f>
        <v>772814</v>
      </c>
      <c r="Y4" s="95">
        <f>+_xlfn.XLOOKUP(Y3,Einkommensdaten!$A$3:$A$29,Einkommensdaten!$B$3:$B$29)</f>
        <v>364845</v>
      </c>
      <c r="Z4" s="95">
        <f>+_xlfn.XLOOKUP(Z3,Einkommensdaten!$A$3:$A$29,Einkommensdaten!$B$3:$B$29)</f>
        <v>178637</v>
      </c>
      <c r="AA4" s="95">
        <f>+_xlfn.XLOOKUP(AA3,Einkommensdaten!$A$3:$A$29,Einkommensdaten!$B$3:$B$29)</f>
        <v>481867</v>
      </c>
      <c r="AB4" s="95">
        <f>+_xlfn.XLOOKUP(AB3,Einkommensdaten!$A$3:$A$29,Einkommensdaten!$B$3:$B$29)</f>
        <v>73700</v>
      </c>
      <c r="AC4" s="95">
        <f>SUM(C4:AB4)</f>
        <v>8456930</v>
      </c>
    </row>
    <row r="5" spans="1:29">
      <c r="A5" s="105" t="str">
        <f>+Übersetzung!B14</f>
        <v>Effectif des assurés (STAT AOS):</v>
      </c>
      <c r="B5" s="88">
        <f>+B2-2</f>
        <v>2024</v>
      </c>
      <c r="C5" s="95">
        <f>+_xlfn.XLOOKUP(C3,Statistikdaten!$A$5:$A$38,Statistikdaten!$C$5:$C$38)</f>
        <v>1608428.2471</v>
      </c>
      <c r="D5" s="95">
        <f>+_xlfn.XLOOKUP(D3,Statistikdaten!$A$5:$A$38,Statistikdaten!$C$5:$C$38)</f>
        <v>1069813.5112600001</v>
      </c>
      <c r="E5" s="95">
        <f>+_xlfn.XLOOKUP(E3,Statistikdaten!$A$5:$A$38,Statistikdaten!$C$5:$C$38)</f>
        <v>438062.10734000005</v>
      </c>
      <c r="F5" s="95">
        <f>+_xlfn.XLOOKUP(F3,Statistikdaten!$A$5:$A$38,Statistikdaten!$C$5:$C$38)</f>
        <v>38323.085579999999</v>
      </c>
      <c r="G5" s="95">
        <f>+_xlfn.XLOOKUP(G3,Statistikdaten!$A$5:$A$38,Statistikdaten!$C$5:$C$38)</f>
        <v>169128.64974999998</v>
      </c>
      <c r="H5" s="95">
        <f>+_xlfn.XLOOKUP(H3,Statistikdaten!$A$5:$A$38,Statistikdaten!$C$5:$C$38)</f>
        <v>39858.137570000006</v>
      </c>
      <c r="I5" s="95">
        <f>+_xlfn.XLOOKUP(I3,Statistikdaten!$A$5:$A$38,Statistikdaten!$C$5:$C$38)</f>
        <v>45189.01756</v>
      </c>
      <c r="J5" s="95">
        <f>+_xlfn.XLOOKUP(J3,Statistikdaten!$A$5:$A$38,Statistikdaten!$C$5:$C$38)</f>
        <v>42724.547450000005</v>
      </c>
      <c r="K5" s="95">
        <f>+_xlfn.XLOOKUP(K3,Statistikdaten!$A$5:$A$38,Statistikdaten!$C$5:$C$38)</f>
        <v>134010.2378</v>
      </c>
      <c r="L5" s="95">
        <f>+_xlfn.XLOOKUP(L3,Statistikdaten!$A$5:$A$38,Statistikdaten!$C$5:$C$38)</f>
        <v>345691.45117999997</v>
      </c>
      <c r="M5" s="95">
        <f>+_xlfn.XLOOKUP(M3,Statistikdaten!$A$5:$A$38,Statistikdaten!$C$5:$C$38)</f>
        <v>291244.51620000007</v>
      </c>
      <c r="N5" s="95">
        <f>+_xlfn.XLOOKUP(N3,Statistikdaten!$A$5:$A$38,Statistikdaten!$C$5:$C$38)</f>
        <v>197596.24051999999</v>
      </c>
      <c r="O5" s="95">
        <f>+_xlfn.XLOOKUP(O3,Statistikdaten!$A$5:$A$38,Statistikdaten!$C$5:$C$38)</f>
        <v>300431.29992000002</v>
      </c>
      <c r="P5" s="95">
        <f>+_xlfn.XLOOKUP(P3,Statistikdaten!$A$5:$A$38,Statistikdaten!$C$5:$C$38)</f>
        <v>88182.216149999993</v>
      </c>
      <c r="Q5" s="95">
        <f>+_xlfn.XLOOKUP(Q3,Statistikdaten!$A$5:$A$38,Statistikdaten!$C$5:$C$38)</f>
        <v>57165.55257</v>
      </c>
      <c r="R5" s="95">
        <f>+_xlfn.XLOOKUP(R3,Statistikdaten!$A$5:$A$38,Statistikdaten!$C$5:$C$38)</f>
        <v>16801.29711</v>
      </c>
      <c r="S5" s="95">
        <f>+_xlfn.XLOOKUP(S3,Statistikdaten!$A$5:$A$38,Statistikdaten!$C$5:$C$38)</f>
        <v>539793.88283999998</v>
      </c>
      <c r="T5" s="95">
        <f>+_xlfn.XLOOKUP(T3,Statistikdaten!$A$5:$A$38,Statistikdaten!$C$5:$C$38)</f>
        <v>210167.48590999999</v>
      </c>
      <c r="U5" s="95">
        <f>+_xlfn.XLOOKUP(U3,Statistikdaten!$A$5:$A$38,Statistikdaten!$C$5:$C$38)</f>
        <v>737466.39451000001</v>
      </c>
      <c r="V5" s="95">
        <f>+_xlfn.XLOOKUP(V3,Statistikdaten!$A$5:$A$38,Statistikdaten!$C$5:$C$38)</f>
        <v>298904.90071000007</v>
      </c>
      <c r="W5" s="95">
        <f>+_xlfn.XLOOKUP(W3,Statistikdaten!$A$5:$A$38,Statistikdaten!$C$5:$C$38)</f>
        <v>356556.89165000012</v>
      </c>
      <c r="X5" s="95">
        <f>+_xlfn.XLOOKUP(X3,Statistikdaten!$A$5:$A$38,Statistikdaten!$C$5:$C$38)</f>
        <v>838861.99852999998</v>
      </c>
      <c r="Y5" s="95">
        <f>+_xlfn.XLOOKUP(Y3,Statistikdaten!$A$5:$A$38,Statistikdaten!$C$5:$C$38)</f>
        <v>376122.41467999999</v>
      </c>
      <c r="Z5" s="95">
        <f>+_xlfn.XLOOKUP(Z3,Statistikdaten!$A$5:$A$38,Statistikdaten!$C$5:$C$38)</f>
        <v>180222.33141000001</v>
      </c>
      <c r="AA5" s="95">
        <f>+_xlfn.XLOOKUP(AA3,Statistikdaten!$A$5:$A$38,Statistikdaten!$C$5:$C$38)</f>
        <v>486927.08900000004</v>
      </c>
      <c r="AB5" s="95">
        <f>+_xlfn.XLOOKUP(AB3,Statistikdaten!$A$5:$A$38,Statistikdaten!$C$5:$C$38)</f>
        <v>74987.20842000001</v>
      </c>
      <c r="AC5" s="95">
        <f>SUM(C5:AB5)</f>
        <v>8982660.7127199993</v>
      </c>
    </row>
    <row r="6" spans="1:29">
      <c r="A6" s="107" t="str">
        <f>+Übersetzung!B15</f>
        <v>Facteur d'échelle pour les revenus</v>
      </c>
      <c r="B6" s="108"/>
      <c r="C6" s="109">
        <f>C5/C4</f>
        <v>1.0762028765372624</v>
      </c>
      <c r="D6" s="109">
        <f t="shared" ref="D6:AB6" si="0">D5/D4</f>
        <v>1.0562700171007344</v>
      </c>
      <c r="E6" s="109">
        <f t="shared" si="0"/>
        <v>1.0982963960426821</v>
      </c>
      <c r="F6" s="109">
        <f t="shared" si="0"/>
        <v>1.0741076145631885</v>
      </c>
      <c r="G6" s="109">
        <f t="shared" si="0"/>
        <v>1.0334904780382284</v>
      </c>
      <c r="H6" s="109">
        <f t="shared" si="0"/>
        <v>1.0513330230533871</v>
      </c>
      <c r="I6" s="109">
        <f t="shared" si="0"/>
        <v>1.1006946184386799</v>
      </c>
      <c r="J6" s="109">
        <f t="shared" si="0"/>
        <v>1.1095555874409184</v>
      </c>
      <c r="K6" s="109">
        <f t="shared" si="0"/>
        <v>1.0505498330223735</v>
      </c>
      <c r="L6" s="109">
        <f t="shared" si="0"/>
        <v>1.0534941127818174</v>
      </c>
      <c r="M6" s="109">
        <f t="shared" si="0"/>
        <v>1.0834384844595728</v>
      </c>
      <c r="N6" s="109">
        <f t="shared" si="0"/>
        <v>1.2222649477929532</v>
      </c>
      <c r="O6" s="109">
        <f t="shared" si="0"/>
        <v>1.0040918157663423</v>
      </c>
      <c r="P6" s="109">
        <f t="shared" si="0"/>
        <v>1.0797249470436261</v>
      </c>
      <c r="Q6" s="109">
        <f t="shared" si="0"/>
        <v>1.0050732733793977</v>
      </c>
      <c r="R6" s="109">
        <f t="shared" si="0"/>
        <v>1.0614250495925199</v>
      </c>
      <c r="S6" s="109">
        <f t="shared" si="0"/>
        <v>1.0462642493385665</v>
      </c>
      <c r="T6" s="109">
        <f t="shared" si="0"/>
        <v>0.97443220069361369</v>
      </c>
      <c r="U6" s="109">
        <f t="shared" si="0"/>
        <v>1.1164784506206389</v>
      </c>
      <c r="V6" s="109">
        <f t="shared" si="0"/>
        <v>1.0664053940533447</v>
      </c>
      <c r="W6" s="109">
        <f t="shared" si="0"/>
        <v>1.0191474588261527</v>
      </c>
      <c r="X6" s="109">
        <f t="shared" si="0"/>
        <v>1.0854642883410497</v>
      </c>
      <c r="Y6" s="109">
        <f t="shared" si="0"/>
        <v>1.0309101527497979</v>
      </c>
      <c r="Z6" s="109">
        <f t="shared" si="0"/>
        <v>1.0088745971439288</v>
      </c>
      <c r="AA6" s="109">
        <f t="shared" si="0"/>
        <v>1.010501007539425</v>
      </c>
      <c r="AB6" s="109">
        <f t="shared" si="0"/>
        <v>1.0174655145183176</v>
      </c>
      <c r="AC6" s="109"/>
    </row>
    <row r="7" spans="1:29">
      <c r="A7" s="89"/>
      <c r="C7" s="96"/>
      <c r="D7" s="96">
        <v>0</v>
      </c>
      <c r="E7" s="96">
        <v>0</v>
      </c>
      <c r="F7" s="96">
        <v>0</v>
      </c>
      <c r="G7" s="96">
        <v>0</v>
      </c>
      <c r="H7" s="96">
        <v>0</v>
      </c>
      <c r="I7" s="96">
        <v>0</v>
      </c>
      <c r="J7" s="96">
        <v>0</v>
      </c>
      <c r="K7" s="96">
        <v>0</v>
      </c>
      <c r="L7" s="96">
        <v>0</v>
      </c>
      <c r="M7" s="96">
        <v>0</v>
      </c>
      <c r="N7" s="96">
        <v>0</v>
      </c>
      <c r="O7" s="96">
        <v>0</v>
      </c>
      <c r="P7" s="96">
        <v>0</v>
      </c>
      <c r="Q7" s="96">
        <v>0</v>
      </c>
      <c r="R7" s="96">
        <v>0</v>
      </c>
      <c r="S7" s="96">
        <v>0</v>
      </c>
      <c r="T7" s="96">
        <v>0</v>
      </c>
      <c r="U7" s="96">
        <v>0</v>
      </c>
      <c r="V7" s="96">
        <v>0</v>
      </c>
      <c r="W7" s="96">
        <v>0</v>
      </c>
      <c r="X7" s="96">
        <v>0</v>
      </c>
      <c r="Y7" s="96">
        <v>0</v>
      </c>
      <c r="Z7" s="96">
        <v>0</v>
      </c>
      <c r="AA7" s="96">
        <v>0</v>
      </c>
      <c r="AB7" s="96">
        <v>0</v>
      </c>
      <c r="AC7" s="96"/>
    </row>
    <row r="8" spans="1:29">
      <c r="A8" s="105" t="str">
        <f>+Übersetzung!B16</f>
        <v>Primes à recevoir des contribuables (AFC)</v>
      </c>
      <c r="B8" s="88">
        <f>+B4</f>
        <v>2021</v>
      </c>
      <c r="C8" s="95">
        <f>+_xlfn.XLOOKUP(C3,Einkommensdaten!$A$3:$A$29,Einkommensdaten!$C$3:$C$29)</f>
        <v>6254357257.1422911</v>
      </c>
      <c r="D8" s="95">
        <f>+_xlfn.XLOOKUP(D3,Einkommensdaten!$A$3:$A$29,Einkommensdaten!$C$3:$C$29)</f>
        <v>4503933607.5394258</v>
      </c>
      <c r="E8" s="95">
        <f>+_xlfn.XLOOKUP(E3,Einkommensdaten!$A$3:$A$29,Einkommensdaten!$C$3:$C$29)</f>
        <v>1458935040.0407841</v>
      </c>
      <c r="F8" s="95">
        <f>+_xlfn.XLOOKUP(F3,Einkommensdaten!$A$3:$A$29,Einkommensdaten!$C$3:$C$29)</f>
        <v>118436196.00691195</v>
      </c>
      <c r="G8" s="95">
        <f>+_xlfn.XLOOKUP(G3,Einkommensdaten!$A$3:$A$29,Einkommensdaten!$C$3:$C$29)</f>
        <v>611118394.12029064</v>
      </c>
      <c r="H8" s="95">
        <f>+_xlfn.XLOOKUP(H3,Einkommensdaten!$A$3:$A$29,Einkommensdaten!$C$3:$C$29)</f>
        <v>133700137.35682559</v>
      </c>
      <c r="I8" s="95">
        <f>+_xlfn.XLOOKUP(I3,Einkommensdaten!$A$3:$A$29,Einkommensdaten!$C$3:$C$29)</f>
        <v>146664141.61087152</v>
      </c>
      <c r="J8" s="95">
        <f>+_xlfn.XLOOKUP(J3,Einkommensdaten!$A$3:$A$29,Einkommensdaten!$C$3:$C$29)</f>
        <v>146970035.403265</v>
      </c>
      <c r="K8" s="95">
        <f>+_xlfn.XLOOKUP(K3,Einkommensdaten!$A$3:$A$29,Einkommensdaten!$C$3:$C$29)</f>
        <v>447730131.01522803</v>
      </c>
      <c r="L8" s="95">
        <f>+_xlfn.XLOOKUP(L3,Einkommensdaten!$A$3:$A$29,Einkommensdaten!$C$3:$C$29)</f>
        <v>1305170760.8112183</v>
      </c>
      <c r="M8" s="95">
        <f>+_xlfn.XLOOKUP(M3,Einkommensdaten!$A$3:$A$29,Einkommensdaten!$C$3:$C$29)</f>
        <v>1181422996.4518178</v>
      </c>
      <c r="N8" s="95">
        <f>+_xlfn.XLOOKUP(N3,Einkommensdaten!$A$3:$A$29,Einkommensdaten!$C$3:$C$29)</f>
        <v>846882561.36686707</v>
      </c>
      <c r="O8" s="95">
        <f>+_xlfn.XLOOKUP(O3,Einkommensdaten!$A$3:$A$29,Einkommensdaten!$C$3:$C$29)</f>
        <v>1444379714.7378693</v>
      </c>
      <c r="P8" s="95">
        <f>+_xlfn.XLOOKUP(P3,Einkommensdaten!$A$3:$A$29,Einkommensdaten!$C$3:$C$29)</f>
        <v>346409519.98584801</v>
      </c>
      <c r="Q8" s="95">
        <f>+_xlfn.XLOOKUP(Q3,Einkommensdaten!$A$3:$A$29,Einkommensdaten!$C$3:$C$29)</f>
        <v>215915231.55071223</v>
      </c>
      <c r="R8" s="95">
        <f>+_xlfn.XLOOKUP(R3,Einkommensdaten!$A$3:$A$29,Einkommensdaten!$C$3:$C$29)</f>
        <v>46951387.161682218</v>
      </c>
      <c r="S8" s="95">
        <f>+_xlfn.XLOOKUP(S3,Einkommensdaten!$A$3:$A$29,Einkommensdaten!$C$3:$C$29)</f>
        <v>1972385840.8926866</v>
      </c>
      <c r="T8" s="95">
        <f>+_xlfn.XLOOKUP(T3,Einkommensdaten!$A$3:$A$29,Einkommensdaten!$C$3:$C$29)</f>
        <v>806917075.56097949</v>
      </c>
      <c r="U8" s="95">
        <f>+_xlfn.XLOOKUP(U3,Einkommensdaten!$A$3:$A$29,Einkommensdaten!$C$3:$C$29)</f>
        <v>2629009268.9708276</v>
      </c>
      <c r="V8" s="95">
        <f>+_xlfn.XLOOKUP(V3,Einkommensdaten!$A$3:$A$29,Einkommensdaten!$C$3:$C$29)</f>
        <v>1084850906.50721</v>
      </c>
      <c r="W8" s="95">
        <f>+_xlfn.XLOOKUP(W3,Einkommensdaten!$A$3:$A$29,Einkommensdaten!$C$3:$C$29)</f>
        <v>1775915534.153255</v>
      </c>
      <c r="X8" s="95">
        <f>+_xlfn.XLOOKUP(X3,Einkommensdaten!$A$3:$A$29,Einkommensdaten!$C$3:$C$29)</f>
        <v>3620005761.8698483</v>
      </c>
      <c r="Y8" s="95">
        <f>+_xlfn.XLOOKUP(Y3,Einkommensdaten!$A$3:$A$29,Einkommensdaten!$C$3:$C$29)</f>
        <v>1460198370.4560924</v>
      </c>
      <c r="Z8" s="95">
        <f>+_xlfn.XLOOKUP(Z3,Einkommensdaten!$A$3:$A$29,Einkommensdaten!$C$3:$C$29)</f>
        <v>873345086.37723684</v>
      </c>
      <c r="AA8" s="95">
        <f>+_xlfn.XLOOKUP(AA3,Einkommensdaten!$A$3:$A$29,Einkommensdaten!$C$3:$C$29)</f>
        <v>2491513316.8107204</v>
      </c>
      <c r="AB8" s="95">
        <f>+_xlfn.XLOOKUP(AB3,Einkommensdaten!$A$3:$A$29,Einkommensdaten!$C$3:$C$29)</f>
        <v>343214459.31497782</v>
      </c>
      <c r="AC8" s="95">
        <f>SUM(C8:AB8)</f>
        <v>36266332733.215744</v>
      </c>
    </row>
    <row r="9" spans="1:29">
      <c r="A9" s="105" t="str">
        <f>+Übersetzung!B17</f>
        <v>Primes à recevoir de tous les assurés (STAT AOS)</v>
      </c>
      <c r="B9" s="88">
        <f>+B5</f>
        <v>2024</v>
      </c>
      <c r="C9" s="95">
        <f>+_xlfn.XLOOKUP(C3,Statistikdaten!$A$5:$A$38,Statistikdaten!$D$5:$D$38)</f>
        <v>6704754792.6096687</v>
      </c>
      <c r="D9" s="95">
        <f>+_xlfn.XLOOKUP(D3,Statistikdaten!$A$5:$A$38,Statistikdaten!$D$5:$D$38)</f>
        <v>4683177662.99298</v>
      </c>
      <c r="E9" s="95">
        <f>+_xlfn.XLOOKUP(E3,Statistikdaten!$A$5:$A$38,Statistikdaten!$D$5:$D$38)</f>
        <v>1597102960.7281902</v>
      </c>
      <c r="F9" s="95">
        <f>+_xlfn.XLOOKUP(F3,Statistikdaten!$A$5:$A$38,Statistikdaten!$D$5:$D$38)</f>
        <v>124807621.64972001</v>
      </c>
      <c r="G9" s="95">
        <f>+_xlfn.XLOOKUP(G3,Statistikdaten!$A$5:$A$38,Statistikdaten!$D$5:$D$38)</f>
        <v>620605789.27674007</v>
      </c>
      <c r="H9" s="95">
        <f>+_xlfn.XLOOKUP(H3,Statistikdaten!$A$5:$A$38,Statistikdaten!$D$5:$D$38)</f>
        <v>137381472.70885003</v>
      </c>
      <c r="I9" s="95">
        <f>+_xlfn.XLOOKUP(I3,Statistikdaten!$A$5:$A$38,Statistikdaten!$D$5:$D$38)</f>
        <v>159665696.96381</v>
      </c>
      <c r="J9" s="95">
        <f>+_xlfn.XLOOKUP(J3,Statistikdaten!$A$5:$A$38,Statistikdaten!$D$5:$D$38)</f>
        <v>160693606.87515</v>
      </c>
      <c r="K9" s="95">
        <f>+_xlfn.XLOOKUP(K3,Statistikdaten!$A$5:$A$38,Statistikdaten!$D$5:$D$38)</f>
        <v>472356772.92097008</v>
      </c>
      <c r="L9" s="95">
        <f>+_xlfn.XLOOKUP(L3,Statistikdaten!$A$5:$A$38,Statistikdaten!$D$5:$D$38)</f>
        <v>1387528637.7419901</v>
      </c>
      <c r="M9" s="95">
        <f>+_xlfn.XLOOKUP(M3,Statistikdaten!$A$5:$A$38,Statistikdaten!$D$5:$D$38)</f>
        <v>1250641131.6167102</v>
      </c>
      <c r="N9" s="95">
        <f>+_xlfn.XLOOKUP(N3,Statistikdaten!$A$5:$A$38,Statistikdaten!$D$5:$D$38)</f>
        <v>1065256545.5206399</v>
      </c>
      <c r="O9" s="95">
        <f>+_xlfn.XLOOKUP(O3,Statistikdaten!$A$5:$A$38,Statistikdaten!$D$5:$D$38)</f>
        <v>1461371799.8763099</v>
      </c>
      <c r="P9" s="95">
        <f>+_xlfn.XLOOKUP(P3,Statistikdaten!$A$5:$A$38,Statistikdaten!$D$5:$D$38)</f>
        <v>369798053.60767001</v>
      </c>
      <c r="Q9" s="95">
        <f>+_xlfn.XLOOKUP(Q3,Statistikdaten!$A$5:$A$38,Statistikdaten!$D$5:$D$38)</f>
        <v>212671839.33985999</v>
      </c>
      <c r="R9" s="95">
        <f>+_xlfn.XLOOKUP(R3,Statistikdaten!$A$5:$A$38,Statistikdaten!$D$5:$D$38)</f>
        <v>49278658.632600002</v>
      </c>
      <c r="S9" s="95">
        <f>+_xlfn.XLOOKUP(S3,Statistikdaten!$A$5:$A$38,Statistikdaten!$D$5:$D$38)</f>
        <v>2042783409.1539805</v>
      </c>
      <c r="T9" s="95">
        <f>+_xlfn.XLOOKUP(T3,Statistikdaten!$A$5:$A$38,Statistikdaten!$D$5:$D$38)</f>
        <v>788410715.27932012</v>
      </c>
      <c r="U9" s="95">
        <f>+_xlfn.XLOOKUP(U3,Statistikdaten!$A$5:$A$38,Statistikdaten!$D$5:$D$38)</f>
        <v>2911651737.28755</v>
      </c>
      <c r="V9" s="95">
        <f>+_xlfn.XLOOKUP(V3,Statistikdaten!$A$5:$A$38,Statistikdaten!$D$5:$D$38)</f>
        <v>1148414271.8299301</v>
      </c>
      <c r="W9" s="95">
        <f>+_xlfn.XLOOKUP(W3,Statistikdaten!$A$5:$A$38,Statistikdaten!$D$5:$D$38)</f>
        <v>1826973921.56703</v>
      </c>
      <c r="X9" s="95">
        <f>+_xlfn.XLOOKUP(X3,Statistikdaten!$A$5:$A$38,Statistikdaten!$D$5:$D$38)</f>
        <v>3994583802.1852999</v>
      </c>
      <c r="Y9" s="95">
        <f>+_xlfn.XLOOKUP(Y3,Statistikdaten!$A$5:$A$38,Statistikdaten!$D$5:$D$38)</f>
        <v>1493343132.89815</v>
      </c>
      <c r="Z9" s="95">
        <f>+_xlfn.XLOOKUP(Z3,Statistikdaten!$A$5:$A$38,Statistikdaten!$D$5:$D$38)</f>
        <v>888992762.69344008</v>
      </c>
      <c r="AA9" s="95">
        <f>+_xlfn.XLOOKUP(AA3,Statistikdaten!$A$5:$A$38,Statistikdaten!$D$5:$D$38)</f>
        <v>2612369045.4568896</v>
      </c>
      <c r="AB9" s="95">
        <f>+_xlfn.XLOOKUP(AB3,Statistikdaten!$A$5:$A$38,Statistikdaten!$D$5:$D$38)</f>
        <v>345039479.76576</v>
      </c>
      <c r="AC9" s="95">
        <f>SUM(C9:AB9)</f>
        <v>38509655321.179207</v>
      </c>
    </row>
    <row r="10" spans="1:29" s="9" customFormat="1">
      <c r="A10" s="107" t="str">
        <f>+Übersetzung!B18</f>
        <v>Facteur d'échelle pour les primes à recevoir</v>
      </c>
      <c r="B10" s="108"/>
      <c r="C10" s="110">
        <f>C9/C8</f>
        <v>1.072013400730033</v>
      </c>
      <c r="D10" s="110">
        <f t="shared" ref="D10:AB10" si="1">D9/D8</f>
        <v>1.0397972241761082</v>
      </c>
      <c r="E10" s="110">
        <f t="shared" si="1"/>
        <v>1.0947046420130835</v>
      </c>
      <c r="F10" s="110">
        <f t="shared" si="1"/>
        <v>1.0537962705458408</v>
      </c>
      <c r="G10" s="110">
        <f t="shared" si="1"/>
        <v>1.0155246434205383</v>
      </c>
      <c r="H10" s="110">
        <f t="shared" si="1"/>
        <v>1.0275342675393033</v>
      </c>
      <c r="I10" s="110">
        <f t="shared" si="1"/>
        <v>1.0886484945136359</v>
      </c>
      <c r="J10" s="110">
        <f t="shared" si="1"/>
        <v>1.0933766630335868</v>
      </c>
      <c r="K10" s="110">
        <f t="shared" si="1"/>
        <v>1.0550033160598353</v>
      </c>
      <c r="L10" s="110">
        <f t="shared" si="1"/>
        <v>1.0631012273670482</v>
      </c>
      <c r="M10" s="110">
        <f t="shared" si="1"/>
        <v>1.0585887826568265</v>
      </c>
      <c r="N10" s="110">
        <f t="shared" si="1"/>
        <v>1.2578562767915749</v>
      </c>
      <c r="O10" s="110">
        <f t="shared" si="1"/>
        <v>1.0117642784408145</v>
      </c>
      <c r="P10" s="110">
        <f t="shared" si="1"/>
        <v>1.0675170059494252</v>
      </c>
      <c r="Q10" s="110">
        <f t="shared" si="1"/>
        <v>0.98497840014547344</v>
      </c>
      <c r="R10" s="110">
        <f t="shared" si="1"/>
        <v>1.0495676829079315</v>
      </c>
      <c r="S10" s="110">
        <f t="shared" si="1"/>
        <v>1.0356915806237144</v>
      </c>
      <c r="T10" s="110">
        <f t="shared" si="1"/>
        <v>0.97706535052713628</v>
      </c>
      <c r="U10" s="110">
        <f t="shared" si="1"/>
        <v>1.1075091182266421</v>
      </c>
      <c r="V10" s="110">
        <f t="shared" si="1"/>
        <v>1.0585917981369153</v>
      </c>
      <c r="W10" s="110">
        <f t="shared" si="1"/>
        <v>1.028750459372562</v>
      </c>
      <c r="X10" s="110">
        <f t="shared" si="1"/>
        <v>1.1034744320743761</v>
      </c>
      <c r="Y10" s="110">
        <f t="shared" si="1"/>
        <v>1.0226988079925776</v>
      </c>
      <c r="Z10" s="110">
        <f t="shared" si="1"/>
        <v>1.0179169455010184</v>
      </c>
      <c r="AA10" s="110">
        <f t="shared" si="1"/>
        <v>1.0485069567281589</v>
      </c>
      <c r="AB10" s="110">
        <f t="shared" si="1"/>
        <v>1.0053174346279721</v>
      </c>
      <c r="AC10" s="110"/>
    </row>
    <row r="11" spans="1:29">
      <c r="A11" s="87"/>
      <c r="B11" s="88"/>
      <c r="C11" s="97"/>
      <c r="D11" s="97">
        <v>0</v>
      </c>
      <c r="E11" s="97">
        <v>0</v>
      </c>
      <c r="F11" s="97">
        <v>0</v>
      </c>
      <c r="G11" s="97">
        <v>0</v>
      </c>
      <c r="H11" s="97">
        <v>0</v>
      </c>
      <c r="I11" s="97">
        <v>0</v>
      </c>
      <c r="J11" s="97">
        <v>0</v>
      </c>
      <c r="K11" s="97">
        <v>0</v>
      </c>
      <c r="L11" s="97">
        <v>0</v>
      </c>
      <c r="M11" s="97">
        <v>0</v>
      </c>
      <c r="N11" s="97">
        <v>0</v>
      </c>
      <c r="O11" s="97">
        <v>0</v>
      </c>
      <c r="P11" s="97">
        <v>0</v>
      </c>
      <c r="Q11" s="97">
        <v>0</v>
      </c>
      <c r="R11" s="97">
        <v>0</v>
      </c>
      <c r="S11" s="97">
        <v>0</v>
      </c>
      <c r="T11" s="97">
        <v>0</v>
      </c>
      <c r="U11" s="97">
        <v>0</v>
      </c>
      <c r="V11" s="97">
        <v>0</v>
      </c>
      <c r="W11" s="97">
        <v>0</v>
      </c>
      <c r="X11" s="97">
        <v>0</v>
      </c>
      <c r="Y11" s="97">
        <v>0</v>
      </c>
      <c r="Z11" s="97">
        <v>0</v>
      </c>
      <c r="AA11" s="97">
        <v>0</v>
      </c>
      <c r="AB11" s="97">
        <v>0</v>
      </c>
      <c r="AC11" s="97"/>
    </row>
    <row r="12" spans="1:29">
      <c r="A12" s="106" t="str">
        <f>+Übersetzung!B19</f>
        <v>Somme des revenus imposables des 40 % des contribuables aux revenus les plus faibles</v>
      </c>
      <c r="B12" s="91">
        <f>+B4</f>
        <v>2021</v>
      </c>
      <c r="C12" s="98">
        <f>+_xlfn.XLOOKUP(C3,Einkommensdaten!$A$3:$A$29,Einkommensdaten!$D$3:$D$29)</f>
        <v>9058631400</v>
      </c>
      <c r="D12" s="98">
        <f>+_xlfn.XLOOKUP(D3,Einkommensdaten!$A$3:$A$29,Einkommensdaten!$D$3:$D$29)</f>
        <v>5265199400</v>
      </c>
      <c r="E12" s="98">
        <f>+_xlfn.XLOOKUP(E3,Einkommensdaten!$A$3:$A$29,Einkommensdaten!$D$3:$D$29)</f>
        <v>2280950700</v>
      </c>
      <c r="F12" s="98">
        <f>+_xlfn.XLOOKUP(F3,Einkommensdaten!$A$3:$A$29,Einkommensdaten!$D$3:$D$29)</f>
        <v>193400300</v>
      </c>
      <c r="G12" s="98">
        <f>+_xlfn.XLOOKUP(G3,Einkommensdaten!$A$3:$A$29,Einkommensdaten!$D$3:$D$29)</f>
        <v>962990600</v>
      </c>
      <c r="H12" s="98">
        <f>+_xlfn.XLOOKUP(H3,Einkommensdaten!$A$3:$A$29,Einkommensdaten!$D$3:$D$29)</f>
        <v>206630000</v>
      </c>
      <c r="I12" s="98">
        <f>+_xlfn.XLOOKUP(I3,Einkommensdaten!$A$3:$A$29,Einkommensdaten!$D$3:$D$29)</f>
        <v>270342800</v>
      </c>
      <c r="J12" s="98">
        <f>+_xlfn.XLOOKUP(J3,Einkommensdaten!$A$3:$A$29,Einkommensdaten!$D$3:$D$29)</f>
        <v>209113000</v>
      </c>
      <c r="K12" s="98">
        <f>+_xlfn.XLOOKUP(K3,Einkommensdaten!$A$3:$A$29,Einkommensdaten!$D$3:$D$29)</f>
        <v>953935600</v>
      </c>
      <c r="L12" s="98">
        <f>+_xlfn.XLOOKUP(L3,Einkommensdaten!$A$3:$A$29,Einkommensdaten!$D$3:$D$29)</f>
        <v>1734523500</v>
      </c>
      <c r="M12" s="98">
        <f>+_xlfn.XLOOKUP(M3,Einkommensdaten!$A$3:$A$29,Einkommensdaten!$D$3:$D$29)</f>
        <v>1580429000</v>
      </c>
      <c r="N12" s="98">
        <f>+_xlfn.XLOOKUP(N3,Einkommensdaten!$A$3:$A$29,Einkommensdaten!$D$3:$D$29)</f>
        <v>814771400</v>
      </c>
      <c r="O12" s="98">
        <f>+_xlfn.XLOOKUP(O3,Einkommensdaten!$A$3:$A$29,Einkommensdaten!$D$3:$D$29)</f>
        <v>1751601100</v>
      </c>
      <c r="P12" s="98">
        <f>+_xlfn.XLOOKUP(P3,Einkommensdaten!$A$3:$A$29,Einkommensdaten!$D$3:$D$29)</f>
        <v>449672900</v>
      </c>
      <c r="Q12" s="98">
        <f>+_xlfn.XLOOKUP(Q3,Einkommensdaten!$A$3:$A$29,Einkommensdaten!$D$3:$D$29)</f>
        <v>275291600</v>
      </c>
      <c r="R12" s="98">
        <f>+_xlfn.XLOOKUP(R3,Einkommensdaten!$A$3:$A$29,Einkommensdaten!$D$3:$D$29)</f>
        <v>86310300</v>
      </c>
      <c r="S12" s="98">
        <f>+_xlfn.XLOOKUP(S3,Einkommensdaten!$A$3:$A$29,Einkommensdaten!$D$3:$D$29)</f>
        <v>2665322100</v>
      </c>
      <c r="T12" s="98">
        <f>+_xlfn.XLOOKUP(T3,Einkommensdaten!$A$3:$A$29,Einkommensdaten!$D$3:$D$29)</f>
        <v>824328200</v>
      </c>
      <c r="U12" s="98">
        <f>+_xlfn.XLOOKUP(U3,Einkommensdaten!$A$3:$A$29,Einkommensdaten!$D$3:$D$29)</f>
        <v>4120008000</v>
      </c>
      <c r="V12" s="98">
        <f>+_xlfn.XLOOKUP(V3,Einkommensdaten!$A$3:$A$29,Einkommensdaten!$D$3:$D$29)</f>
        <v>1506817600</v>
      </c>
      <c r="W12" s="98">
        <f>+_xlfn.XLOOKUP(W3,Einkommensdaten!$A$3:$A$29,Einkommensdaten!$D$3:$D$29)</f>
        <v>1618880100</v>
      </c>
      <c r="X12" s="98">
        <f>+_xlfn.XLOOKUP(X3,Einkommensdaten!$A$3:$A$29,Einkommensdaten!$D$3:$D$29)</f>
        <v>4048472900</v>
      </c>
      <c r="Y12" s="98">
        <f>+_xlfn.XLOOKUP(Y3,Einkommensdaten!$A$3:$A$29,Einkommensdaten!$D$3:$D$29)</f>
        <v>1578645300</v>
      </c>
      <c r="Z12" s="98">
        <f>+_xlfn.XLOOKUP(Z3,Einkommensdaten!$A$3:$A$29,Einkommensdaten!$D$3:$D$29)</f>
        <v>873167700</v>
      </c>
      <c r="AA12" s="98">
        <f>+_xlfn.XLOOKUP(AA3,Einkommensdaten!$A$3:$A$29,Einkommensdaten!$D$3:$D$29)</f>
        <v>2308924200</v>
      </c>
      <c r="AB12" s="98">
        <f>+_xlfn.XLOOKUP(AB3,Einkommensdaten!$A$3:$A$29,Einkommensdaten!$D$3:$D$29)</f>
        <v>366780000</v>
      </c>
      <c r="AC12" s="98">
        <f>SUM(C12:AB12)</f>
        <v>46005139700</v>
      </c>
    </row>
    <row r="13" spans="1:29" s="9" customFormat="1">
      <c r="A13" s="107" t="str">
        <f>+Übersetzung!B20</f>
        <v>Revenus, mis à l'échelle, des 40 % des assurés aux revenus les plus faibles</v>
      </c>
      <c r="B13" s="108">
        <f>+B5</f>
        <v>2024</v>
      </c>
      <c r="C13" s="111">
        <f t="shared" ref="C13:AB13" si="2">C12*C6</f>
        <v>9748925170.1707687</v>
      </c>
      <c r="D13" s="111">
        <f t="shared" si="2"/>
        <v>5561472260.2767763</v>
      </c>
      <c r="E13" s="111">
        <f t="shared" si="2"/>
        <v>2505159933.361033</v>
      </c>
      <c r="F13" s="111">
        <f t="shared" si="2"/>
        <v>207732734.88880503</v>
      </c>
      <c r="G13" s="111">
        <f t="shared" si="2"/>
        <v>995241615.5403204</v>
      </c>
      <c r="H13" s="111">
        <f t="shared" si="2"/>
        <v>217236942.55352136</v>
      </c>
      <c r="I13" s="111">
        <f t="shared" si="2"/>
        <v>297564865.09364432</v>
      </c>
      <c r="J13" s="111">
        <f t="shared" si="2"/>
        <v>232022497.55653277</v>
      </c>
      <c r="K13" s="111">
        <f t="shared" si="2"/>
        <v>1002156885.2940977</v>
      </c>
      <c r="L13" s="111">
        <f t="shared" si="2"/>
        <v>1827310295.7317126</v>
      </c>
      <c r="M13" s="111">
        <f t="shared" si="2"/>
        <v>1712297600.5559583</v>
      </c>
      <c r="N13" s="111">
        <f t="shared" si="2"/>
        <v>995866522.68419147</v>
      </c>
      <c r="O13" s="111">
        <f t="shared" si="2"/>
        <v>1758768328.9973226</v>
      </c>
      <c r="P13" s="111">
        <f t="shared" si="2"/>
        <v>485523048.13945377</v>
      </c>
      <c r="Q13" s="111">
        <f t="shared" si="2"/>
        <v>276688229.54585177</v>
      </c>
      <c r="R13" s="111">
        <f t="shared" si="2"/>
        <v>91611914.457845271</v>
      </c>
      <c r="S13" s="111">
        <f t="shared" si="2"/>
        <v>2788631226.2019916</v>
      </c>
      <c r="T13" s="111">
        <f t="shared" si="2"/>
        <v>803251942.01980531</v>
      </c>
      <c r="U13" s="111">
        <f t="shared" si="2"/>
        <v>4599900148.3846369</v>
      </c>
      <c r="V13" s="111">
        <f t="shared" si="2"/>
        <v>1606878416.4945152</v>
      </c>
      <c r="W13" s="111">
        <f t="shared" si="2"/>
        <v>1649877540.0592279</v>
      </c>
      <c r="X13" s="111">
        <f t="shared" si="2"/>
        <v>4394472755.2665253</v>
      </c>
      <c r="Y13" s="111">
        <f t="shared" si="2"/>
        <v>1627441467.3607504</v>
      </c>
      <c r="Z13" s="111">
        <f t="shared" si="2"/>
        <v>880916711.5765909</v>
      </c>
      <c r="AA13" s="111">
        <f t="shared" si="2"/>
        <v>2333170230.4321609</v>
      </c>
      <c r="AB13" s="111">
        <f t="shared" si="2"/>
        <v>373186001.41502851</v>
      </c>
      <c r="AC13" s="111">
        <f>SUM(C13:AB13)</f>
        <v>48973305284.059067</v>
      </c>
    </row>
    <row r="14" spans="1:29">
      <c r="A14" s="87"/>
      <c r="B14" s="88"/>
      <c r="C14" s="97"/>
      <c r="D14" s="97"/>
      <c r="E14" s="97"/>
      <c r="F14" s="97"/>
      <c r="G14" s="97"/>
      <c r="H14" s="97"/>
      <c r="I14" s="97"/>
      <c r="J14" s="97"/>
      <c r="K14" s="97"/>
      <c r="L14" s="97"/>
      <c r="M14" s="97"/>
      <c r="N14" s="97"/>
      <c r="O14" s="97"/>
      <c r="P14" s="97"/>
      <c r="Q14" s="97"/>
      <c r="R14" s="97"/>
      <c r="S14" s="97"/>
      <c r="T14" s="97"/>
      <c r="U14" s="97"/>
      <c r="V14" s="97"/>
      <c r="W14" s="97"/>
      <c r="X14" s="97"/>
      <c r="Y14" s="97"/>
      <c r="Z14" s="97"/>
      <c r="AA14" s="97"/>
      <c r="AB14" s="97"/>
      <c r="AC14" s="97"/>
    </row>
    <row r="15" spans="1:29">
      <c r="A15" s="105" t="str">
        <f>+Übersetzung!B21</f>
        <v>Primes à recevoir des 40 % des assurés aux revenus les plus faibles</v>
      </c>
      <c r="B15" s="88">
        <f>+B4</f>
        <v>2021</v>
      </c>
      <c r="C15" s="95">
        <f>+_xlfn.XLOOKUP(C3,Einkommensdaten!$A$3:$A$29,Einkommensdaten!$E$3:$E$29)</f>
        <v>2426827638.0503674</v>
      </c>
      <c r="D15" s="95">
        <f>+_xlfn.XLOOKUP(D3,Einkommensdaten!$A$3:$A$29,Einkommensdaten!$E$3:$E$29)</f>
        <v>1725663592.3140593</v>
      </c>
      <c r="E15" s="95">
        <f>+_xlfn.XLOOKUP(E3,Einkommensdaten!$A$3:$A$29,Einkommensdaten!$E$3:$E$29)</f>
        <v>552265341.58940494</v>
      </c>
      <c r="F15" s="95">
        <f>+_xlfn.XLOOKUP(F3,Einkommensdaten!$A$3:$A$29,Einkommensdaten!$E$3:$E$29)</f>
        <v>44179472.918008462</v>
      </c>
      <c r="G15" s="95">
        <f>+_xlfn.XLOOKUP(G3,Einkommensdaten!$A$3:$A$29,Einkommensdaten!$E$3:$E$29)</f>
        <v>236822568.36440039</v>
      </c>
      <c r="H15" s="95">
        <f>+_xlfn.XLOOKUP(H3,Einkommensdaten!$A$3:$A$29,Einkommensdaten!$E$3:$E$29)</f>
        <v>51623091.013293266</v>
      </c>
      <c r="I15" s="95">
        <f>+_xlfn.XLOOKUP(I3,Einkommensdaten!$A$3:$A$29,Einkommensdaten!$E$3:$E$29)</f>
        <v>55392791.0546977</v>
      </c>
      <c r="J15" s="95">
        <f>+_xlfn.XLOOKUP(J3,Einkommensdaten!$A$3:$A$29,Einkommensdaten!$E$3:$E$29)</f>
        <v>56062681.68899285</v>
      </c>
      <c r="K15" s="95">
        <f>+_xlfn.XLOOKUP(K3,Einkommensdaten!$A$3:$A$29,Einkommensdaten!$E$3:$E$29)</f>
        <v>177296850.77633408</v>
      </c>
      <c r="L15" s="95">
        <f>+_xlfn.XLOOKUP(L3,Einkommensdaten!$A$3:$A$29,Einkommensdaten!$E$3:$E$29)</f>
        <v>505920551.18662113</v>
      </c>
      <c r="M15" s="95">
        <f>+_xlfn.XLOOKUP(M3,Einkommensdaten!$A$3:$A$29,Einkommensdaten!$E$3:$E$29)</f>
        <v>449244930.31158817</v>
      </c>
      <c r="N15" s="95">
        <f>+_xlfn.XLOOKUP(N3,Einkommensdaten!$A$3:$A$29,Einkommensdaten!$E$3:$E$29)</f>
        <v>326430053.5969407</v>
      </c>
      <c r="O15" s="95">
        <f>+_xlfn.XLOOKUP(O3,Einkommensdaten!$A$3:$A$29,Einkommensdaten!$E$3:$E$29)</f>
        <v>555082446.33192992</v>
      </c>
      <c r="P15" s="95">
        <f>+_xlfn.XLOOKUP(P3,Einkommensdaten!$A$3:$A$29,Einkommensdaten!$E$3:$E$29)</f>
        <v>131557914.34278528</v>
      </c>
      <c r="Q15" s="95">
        <f>+_xlfn.XLOOKUP(Q3,Einkommensdaten!$A$3:$A$29,Einkommensdaten!$E$3:$E$29)</f>
        <v>82187957.316772372</v>
      </c>
      <c r="R15" s="95">
        <f>+_xlfn.XLOOKUP(R3,Einkommensdaten!$A$3:$A$29,Einkommensdaten!$E$3:$E$29)</f>
        <v>17608263.641219478</v>
      </c>
      <c r="S15" s="95">
        <f>+_xlfn.XLOOKUP(S3,Einkommensdaten!$A$3:$A$29,Einkommensdaten!$E$3:$E$29)</f>
        <v>749332793.26428294</v>
      </c>
      <c r="T15" s="95">
        <f>+_xlfn.XLOOKUP(T3,Einkommensdaten!$A$3:$A$29,Einkommensdaten!$E$3:$E$29)</f>
        <v>312725572.78841645</v>
      </c>
      <c r="U15" s="95">
        <f>+_xlfn.XLOOKUP(U3,Einkommensdaten!$A$3:$A$29,Einkommensdaten!$E$3:$E$29)</f>
        <v>991878700.48606575</v>
      </c>
      <c r="V15" s="95">
        <f>+_xlfn.XLOOKUP(V3,Einkommensdaten!$A$3:$A$29,Einkommensdaten!$E$3:$E$29)</f>
        <v>414541882.58807129</v>
      </c>
      <c r="W15" s="95">
        <f>+_xlfn.XLOOKUP(W3,Einkommensdaten!$A$3:$A$29,Einkommensdaten!$E$3:$E$29)</f>
        <v>692471122.12818861</v>
      </c>
      <c r="X15" s="95">
        <f>+_xlfn.XLOOKUP(X3,Einkommensdaten!$A$3:$A$29,Einkommensdaten!$E$3:$E$29)</f>
        <v>1412214783.7684767</v>
      </c>
      <c r="Y15" s="95">
        <f>+_xlfn.XLOOKUP(Y3,Einkommensdaten!$A$3:$A$29,Einkommensdaten!$E$3:$E$29)</f>
        <v>575748917.69516015</v>
      </c>
      <c r="Z15" s="95">
        <f>+_xlfn.XLOOKUP(Z3,Einkommensdaten!$A$3:$A$29,Einkommensdaten!$E$3:$E$29)</f>
        <v>340399963.62842798</v>
      </c>
      <c r="AA15" s="95">
        <f>+_xlfn.XLOOKUP(AA3,Einkommensdaten!$A$3:$A$29,Einkommensdaten!$E$3:$E$29)</f>
        <v>980674444.24253929</v>
      </c>
      <c r="AB15" s="95">
        <f>+_xlfn.XLOOKUP(AB3,Einkommensdaten!$A$3:$A$29,Einkommensdaten!$E$3:$E$29)</f>
        <v>135107338.08576313</v>
      </c>
      <c r="AC15" s="95">
        <f>SUM(C15:AB15)</f>
        <v>13999261663.172808</v>
      </c>
    </row>
    <row r="16" spans="1:29" s="9" customFormat="1">
      <c r="A16" s="107" t="str">
        <f>+Übersetzung!B22</f>
        <v>Primes à recevoir, mises à l'échelle, des 40 % des assurés aux revenus les plus faibles</v>
      </c>
      <c r="B16" s="108">
        <f>+B5</f>
        <v>2024</v>
      </c>
      <c r="C16" s="111">
        <f t="shared" ref="C16:AB16" si="3">C15*C10</f>
        <v>2601591749.252008</v>
      </c>
      <c r="D16" s="111">
        <f t="shared" si="3"/>
        <v>1794340213.14993</v>
      </c>
      <c r="E16" s="111">
        <f t="shared" si="3"/>
        <v>604567433.06086278</v>
      </c>
      <c r="F16" s="111">
        <f t="shared" si="3"/>
        <v>46556163.795678288</v>
      </c>
      <c r="G16" s="111">
        <f t="shared" si="3"/>
        <v>240499154.29219374</v>
      </c>
      <c r="H16" s="111">
        <f t="shared" si="3"/>
        <v>53044495.012459092</v>
      </c>
      <c r="I16" s="111">
        <f t="shared" si="3"/>
        <v>60303278.588605046</v>
      </c>
      <c r="J16" s="111">
        <f t="shared" si="3"/>
        <v>61297627.825825177</v>
      </c>
      <c r="K16" s="111">
        <f t="shared" si="3"/>
        <v>187048765.49599823</v>
      </c>
      <c r="L16" s="111">
        <f t="shared" si="3"/>
        <v>537844758.91671038</v>
      </c>
      <c r="M16" s="111">
        <f t="shared" si="3"/>
        <v>475565643.89329499</v>
      </c>
      <c r="N16" s="111">
        <f t="shared" si="3"/>
        <v>410602091.85032207</v>
      </c>
      <c r="O16" s="111">
        <f t="shared" si="3"/>
        <v>561612590.78818727</v>
      </c>
      <c r="P16" s="111">
        <f t="shared" si="3"/>
        <v>140440310.82816109</v>
      </c>
      <c r="Q16" s="111">
        <f t="shared" si="3"/>
        <v>80953362.709098905</v>
      </c>
      <c r="R16" s="111">
        <f t="shared" si="3"/>
        <v>18481064.469946705</v>
      </c>
      <c r="S16" s="111">
        <f t="shared" si="3"/>
        <v>776077665.06906819</v>
      </c>
      <c r="T16" s="111">
        <f t="shared" si="3"/>
        <v>305553321.39531356</v>
      </c>
      <c r="U16" s="111">
        <f t="shared" si="3"/>
        <v>1098514704.9631102</v>
      </c>
      <c r="V16" s="111">
        <f t="shared" si="3"/>
        <v>438830636.89196837</v>
      </c>
      <c r="W16" s="111">
        <f t="shared" si="3"/>
        <v>712379984.99160755</v>
      </c>
      <c r="X16" s="111">
        <f t="shared" si="3"/>
        <v>1558342906.4859576</v>
      </c>
      <c r="Y16" s="111">
        <f t="shared" si="3"/>
        <v>588817731.82985699</v>
      </c>
      <c r="Z16" s="111">
        <f t="shared" si="3"/>
        <v>346498891.22530717</v>
      </c>
      <c r="AA16" s="111">
        <f t="shared" si="3"/>
        <v>1028243977.0738233</v>
      </c>
      <c r="AB16" s="111">
        <f t="shared" si="3"/>
        <v>135825762.52379349</v>
      </c>
      <c r="AC16" s="111">
        <f>SUM(C16:AB16)</f>
        <v>14863834286.379087</v>
      </c>
    </row>
    <row r="17" spans="1:29">
      <c r="A17" s="9"/>
      <c r="C17" s="100"/>
      <c r="D17" s="100">
        <v>0</v>
      </c>
      <c r="E17" s="100">
        <v>0</v>
      </c>
      <c r="F17" s="100">
        <v>0</v>
      </c>
      <c r="G17" s="100">
        <v>0</v>
      </c>
      <c r="H17" s="100">
        <v>0</v>
      </c>
      <c r="I17" s="100">
        <v>0</v>
      </c>
      <c r="J17" s="100">
        <v>0</v>
      </c>
      <c r="K17" s="100">
        <v>0</v>
      </c>
      <c r="L17" s="100">
        <v>0</v>
      </c>
      <c r="M17" s="100">
        <v>0</v>
      </c>
      <c r="N17" s="100">
        <v>0</v>
      </c>
      <c r="O17" s="100">
        <v>0</v>
      </c>
      <c r="P17" s="100">
        <v>0</v>
      </c>
      <c r="Q17" s="100">
        <v>0</v>
      </c>
      <c r="R17" s="100">
        <v>0</v>
      </c>
      <c r="S17" s="100">
        <v>0</v>
      </c>
      <c r="T17" s="100">
        <v>0</v>
      </c>
      <c r="U17" s="100">
        <v>0</v>
      </c>
      <c r="V17" s="100">
        <v>0</v>
      </c>
      <c r="W17" s="100">
        <v>0</v>
      </c>
      <c r="X17" s="100">
        <v>0</v>
      </c>
      <c r="Y17" s="100">
        <v>0</v>
      </c>
      <c r="Z17" s="100">
        <v>0</v>
      </c>
      <c r="AA17" s="100">
        <v>0</v>
      </c>
      <c r="AB17" s="100">
        <v>0</v>
      </c>
      <c r="AC17" s="100"/>
    </row>
    <row r="18" spans="1:29">
      <c r="A18" s="105" t="str">
        <f>+Übersetzung!B23</f>
        <v>Somme des contributions fédérales à la RIP</v>
      </c>
      <c r="B18" s="88">
        <f>+B5</f>
        <v>2024</v>
      </c>
      <c r="C18" s="95">
        <f>+_xlfn.XLOOKUP(C3,Statistikdaten!$A$5:$A$38,Statistikdaten!$F$5:$F$38)</f>
        <v>593834145</v>
      </c>
      <c r="D18" s="95">
        <f>+_xlfn.XLOOKUP(D3,Statistikdaten!$A$5:$A$38,Statistikdaten!$F$5:$F$38)</f>
        <v>394128013</v>
      </c>
      <c r="E18" s="95">
        <f>+_xlfn.XLOOKUP(E3,Statistikdaten!$A$5:$A$38,Statistikdaten!$F$5:$F$38)</f>
        <v>158645302</v>
      </c>
      <c r="F18" s="95">
        <f>+_xlfn.XLOOKUP(F3,Statistikdaten!$A$5:$A$38,Statistikdaten!$F$5:$F$38)</f>
        <v>13944234</v>
      </c>
      <c r="G18" s="95">
        <f>+_xlfn.XLOOKUP(G3,Statistikdaten!$A$5:$A$38,Statistikdaten!$F$5:$F$38)</f>
        <v>61683519</v>
      </c>
      <c r="H18" s="95">
        <f>+_xlfn.XLOOKUP(H3,Statistikdaten!$A$5:$A$38,Statistikdaten!$F$5:$F$38)</f>
        <v>14478285</v>
      </c>
      <c r="I18" s="95">
        <f>+_xlfn.XLOOKUP(I3,Statistikdaten!$A$5:$A$38,Statistikdaten!$F$5:$F$38)</f>
        <v>16572265</v>
      </c>
      <c r="J18" s="95">
        <f>+_xlfn.XLOOKUP(J3,Statistikdaten!$A$5:$A$38,Statistikdaten!$F$5:$F$38)</f>
        <v>15510431</v>
      </c>
      <c r="K18" s="95">
        <f>+_xlfn.XLOOKUP(K3,Statistikdaten!$A$5:$A$38,Statistikdaten!$F$5:$F$38)</f>
        <v>49288220</v>
      </c>
      <c r="L18" s="95">
        <f>+_xlfn.XLOOKUP(L3,Statistikdaten!$A$5:$A$38,Statistikdaten!$F$5:$F$38)</f>
        <v>124724482</v>
      </c>
      <c r="M18" s="95">
        <f>+_xlfn.XLOOKUP(M3,Statistikdaten!$A$5:$A$38,Statistikdaten!$F$5:$F$38)</f>
        <v>105954455</v>
      </c>
      <c r="N18" s="95">
        <f>+_xlfn.XLOOKUP(N3,Statistikdaten!$A$5:$A$38,Statistikdaten!$F$5:$F$38)</f>
        <v>83977389</v>
      </c>
      <c r="O18" s="95">
        <f>+_xlfn.XLOOKUP(O3,Statistikdaten!$A$5:$A$38,Statistikdaten!$F$5:$F$38)</f>
        <v>115370066</v>
      </c>
      <c r="P18" s="95">
        <f>+_xlfn.XLOOKUP(P3,Statistikdaten!$A$5:$A$38,Statistikdaten!$F$5:$F$38)</f>
        <v>33340443</v>
      </c>
      <c r="Q18" s="95">
        <f>+_xlfn.XLOOKUP(Q3,Statistikdaten!$A$5:$A$38,Statistikdaten!$F$5:$F$38)</f>
        <v>20916919</v>
      </c>
      <c r="R18" s="95">
        <f>+_xlfn.XLOOKUP(R3,Statistikdaten!$A$5:$A$38,Statistikdaten!$F$5:$F$38)</f>
        <v>6158059</v>
      </c>
      <c r="S18" s="95">
        <f>+_xlfn.XLOOKUP(S3,Statistikdaten!$A$5:$A$38,Statistikdaten!$F$5:$F$38)</f>
        <v>196657913</v>
      </c>
      <c r="T18" s="95">
        <f>+_xlfn.XLOOKUP(T3,Statistikdaten!$A$5:$A$38,Statistikdaten!$F$5:$F$38)</f>
        <v>75778045</v>
      </c>
      <c r="U18" s="95">
        <f>+_xlfn.XLOOKUP(U3,Statistikdaten!$A$5:$A$38,Statistikdaten!$F$5:$F$38)</f>
        <v>269587346</v>
      </c>
      <c r="V18" s="95">
        <f>+_xlfn.XLOOKUP(V3,Statistikdaten!$A$5:$A$38,Statistikdaten!$F$5:$F$38)</f>
        <v>109598978</v>
      </c>
      <c r="W18" s="95">
        <f>+_xlfn.XLOOKUP(W3,Statistikdaten!$A$5:$A$38,Statistikdaten!$F$5:$F$38)</f>
        <v>132557366</v>
      </c>
      <c r="X18" s="95">
        <f>+_xlfn.XLOOKUP(X3,Statistikdaten!$A$5:$A$38,Statistikdaten!$F$5:$F$38)</f>
        <v>313538202</v>
      </c>
      <c r="Y18" s="95">
        <f>+_xlfn.XLOOKUP(Y3,Statistikdaten!$A$5:$A$38,Statistikdaten!$F$5:$F$38)</f>
        <v>133402542</v>
      </c>
      <c r="Z18" s="95">
        <f>+_xlfn.XLOOKUP(Z3,Statistikdaten!$A$5:$A$38,Statistikdaten!$F$5:$F$38)</f>
        <v>66611504</v>
      </c>
      <c r="AA18" s="95">
        <f>+_xlfn.XLOOKUP(AA3,Statistikdaten!$A$5:$A$38,Statistikdaten!$F$5:$F$38)</f>
        <v>208458396</v>
      </c>
      <c r="AB18" s="95">
        <f>+_xlfn.XLOOKUP(AB3,Statistikdaten!$A$5:$A$38,Statistikdaten!$F$5:$F$38)</f>
        <v>28118879</v>
      </c>
      <c r="AC18" s="95">
        <f>SUM(C18:AB18)</f>
        <v>3342835398</v>
      </c>
    </row>
    <row r="19" spans="1:29">
      <c r="A19" s="105" t="str">
        <f>+Übersetzung!B24</f>
        <v>Somme des contributions cantonales à la RIP</v>
      </c>
      <c r="B19" s="88">
        <f>+B2-2</f>
        <v>2024</v>
      </c>
      <c r="C19" s="95">
        <f>+_xlfn.XLOOKUP(C3,Statistikdaten!$A$5:$A$38,Statistikdaten!$G$5:$G$38)</f>
        <v>576383102</v>
      </c>
      <c r="D19" s="95">
        <f>+_xlfn.XLOOKUP(D3,Statistikdaten!$A$5:$A$38,Statistikdaten!$G$5:$G$38)</f>
        <v>248117591.44999999</v>
      </c>
      <c r="E19" s="95">
        <f>+_xlfn.XLOOKUP(E3,Statistikdaten!$A$5:$A$38,Statistikdaten!$G$5:$G$38)</f>
        <v>79567472</v>
      </c>
      <c r="F19" s="95">
        <f>+_xlfn.XLOOKUP(F3,Statistikdaten!$A$5:$A$38,Statistikdaten!$G$5:$G$38)</f>
        <v>4047576</v>
      </c>
      <c r="G19" s="95">
        <f>+_xlfn.XLOOKUP(G3,Statistikdaten!$A$5:$A$38,Statistikdaten!$G$5:$G$38)</f>
        <v>27672959.949999999</v>
      </c>
      <c r="H19" s="95">
        <f>+_xlfn.XLOOKUP(H3,Statistikdaten!$A$5:$A$38,Statistikdaten!$G$5:$G$38)</f>
        <v>7375646</v>
      </c>
      <c r="I19" s="95">
        <f>+_xlfn.XLOOKUP(I3,Statistikdaten!$A$5:$A$38,Statistikdaten!$G$5:$G$38)</f>
        <v>4881031</v>
      </c>
      <c r="J19" s="95">
        <f>+_xlfn.XLOOKUP(J3,Statistikdaten!$A$5:$A$38,Statistikdaten!$G$5:$G$38)</f>
        <v>6287536</v>
      </c>
      <c r="K19" s="95">
        <f>+_xlfn.XLOOKUP(K3,Statistikdaten!$A$5:$A$38,Statistikdaten!$G$5:$G$38)</f>
        <v>29997121.050000001</v>
      </c>
      <c r="L19" s="95">
        <f>+_xlfn.XLOOKUP(L3,Statistikdaten!$A$5:$A$38,Statistikdaten!$G$5:$G$38)</f>
        <v>98177800</v>
      </c>
      <c r="M19" s="95">
        <f>+_xlfn.XLOOKUP(M3,Statistikdaten!$A$5:$A$38,Statistikdaten!$G$5:$G$38)</f>
        <v>74031492</v>
      </c>
      <c r="N19" s="95">
        <f>+_xlfn.XLOOKUP(N3,Statistikdaten!$A$5:$A$38,Statistikdaten!$G$5:$G$38)</f>
        <v>123665019</v>
      </c>
      <c r="O19" s="95">
        <f>+_xlfn.XLOOKUP(O3,Statistikdaten!$A$5:$A$38,Statistikdaten!$G$5:$G$38)</f>
        <v>80341856.716600001</v>
      </c>
      <c r="P19" s="95">
        <f>+_xlfn.XLOOKUP(P3,Statistikdaten!$A$5:$A$38,Statistikdaten!$G$5:$G$38)</f>
        <v>37054556</v>
      </c>
      <c r="Q19" s="95">
        <f>+_xlfn.XLOOKUP(Q3,Statistikdaten!$A$5:$A$38,Statistikdaten!$G$5:$G$38)</f>
        <v>16283066</v>
      </c>
      <c r="R19" s="95">
        <f>+_xlfn.XLOOKUP(R3,Statistikdaten!$A$5:$A$38,Statistikdaten!$G$5:$G$38)</f>
        <v>1393299</v>
      </c>
      <c r="S19" s="95">
        <f>+_xlfn.XLOOKUP(S3,Statistikdaten!$A$5:$A$38,Statistikdaten!$G$5:$G$38)</f>
        <v>116732047</v>
      </c>
      <c r="T19" s="95">
        <f>+_xlfn.XLOOKUP(T3,Statistikdaten!$A$5:$A$38,Statistikdaten!$G$5:$G$38)</f>
        <v>54725893</v>
      </c>
      <c r="U19" s="95">
        <f>+_xlfn.XLOOKUP(U3,Statistikdaten!$A$5:$A$38,Statistikdaten!$G$5:$G$38)</f>
        <v>119223734.59999999</v>
      </c>
      <c r="V19" s="95">
        <f>+_xlfn.XLOOKUP(V3,Statistikdaten!$A$5:$A$38,Statistikdaten!$G$5:$G$38)</f>
        <v>60077036</v>
      </c>
      <c r="W19" s="95">
        <f>+_xlfn.XLOOKUP(W3,Statistikdaten!$A$5:$A$38,Statistikdaten!$G$5:$G$38)</f>
        <v>257196255.40000001</v>
      </c>
      <c r="X19" s="95">
        <f>+_xlfn.XLOOKUP(X3,Statistikdaten!$A$5:$A$38,Statistikdaten!$G$5:$G$38)</f>
        <v>588575014.60000002</v>
      </c>
      <c r="Y19" s="95">
        <f>+_xlfn.XLOOKUP(Y3,Statistikdaten!$A$5:$A$38,Statistikdaten!$G$5:$G$38)</f>
        <v>96434623.25</v>
      </c>
      <c r="Z19" s="95">
        <f>+_xlfn.XLOOKUP(Z3,Statistikdaten!$A$5:$A$38,Statistikdaten!$G$5:$G$38)</f>
        <v>80832711</v>
      </c>
      <c r="AA19" s="95">
        <f>+_xlfn.XLOOKUP(AA3,Statistikdaten!$A$5:$A$38,Statistikdaten!$G$5:$G$38)</f>
        <v>447770483.20999998</v>
      </c>
      <c r="AB19" s="95">
        <f>+_xlfn.XLOOKUP(AB3,Statistikdaten!$A$5:$A$38,Statistikdaten!$G$5:$G$38)</f>
        <v>30212960</v>
      </c>
      <c r="AC19" s="95">
        <f>SUM(C19:AB19)</f>
        <v>3267057882.2266002</v>
      </c>
    </row>
    <row r="20" spans="1:29" s="9" customFormat="1">
      <c r="A20" s="107" t="str">
        <f>+Übersetzung!B26</f>
        <v>Somme des contributions cantonales et fédérales à la RIP</v>
      </c>
      <c r="B20" s="108">
        <f>+B5</f>
        <v>2024</v>
      </c>
      <c r="C20" s="111">
        <f>+SUM(C18:C19)</f>
        <v>1170217247</v>
      </c>
      <c r="D20" s="111">
        <f t="shared" ref="D20:AC20" si="4">+SUM(D18:D19)</f>
        <v>642245604.45000005</v>
      </c>
      <c r="E20" s="111">
        <f t="shared" si="4"/>
        <v>238212774</v>
      </c>
      <c r="F20" s="111">
        <f t="shared" si="4"/>
        <v>17991810</v>
      </c>
      <c r="G20" s="111">
        <f t="shared" si="4"/>
        <v>89356478.950000003</v>
      </c>
      <c r="H20" s="111">
        <f t="shared" si="4"/>
        <v>21853931</v>
      </c>
      <c r="I20" s="111">
        <f t="shared" si="4"/>
        <v>21453296</v>
      </c>
      <c r="J20" s="111">
        <f t="shared" si="4"/>
        <v>21797967</v>
      </c>
      <c r="K20" s="111">
        <f t="shared" si="4"/>
        <v>79285341.049999997</v>
      </c>
      <c r="L20" s="111">
        <f t="shared" si="4"/>
        <v>222902282</v>
      </c>
      <c r="M20" s="111">
        <f t="shared" si="4"/>
        <v>179985947</v>
      </c>
      <c r="N20" s="111">
        <f t="shared" si="4"/>
        <v>207642408</v>
      </c>
      <c r="O20" s="111">
        <f t="shared" si="4"/>
        <v>195711922.7166</v>
      </c>
      <c r="P20" s="111">
        <f t="shared" si="4"/>
        <v>70394999</v>
      </c>
      <c r="Q20" s="111">
        <f t="shared" si="4"/>
        <v>37199985</v>
      </c>
      <c r="R20" s="111">
        <f t="shared" si="4"/>
        <v>7551358</v>
      </c>
      <c r="S20" s="111">
        <f t="shared" si="4"/>
        <v>313389960</v>
      </c>
      <c r="T20" s="111">
        <f t="shared" si="4"/>
        <v>130503938</v>
      </c>
      <c r="U20" s="111">
        <f t="shared" si="4"/>
        <v>388811080.60000002</v>
      </c>
      <c r="V20" s="111">
        <f t="shared" si="4"/>
        <v>169676014</v>
      </c>
      <c r="W20" s="111">
        <f t="shared" si="4"/>
        <v>389753621.39999998</v>
      </c>
      <c r="X20" s="111">
        <f t="shared" si="4"/>
        <v>902113216.60000002</v>
      </c>
      <c r="Y20" s="111">
        <f t="shared" si="4"/>
        <v>229837165.25</v>
      </c>
      <c r="Z20" s="111">
        <f t="shared" si="4"/>
        <v>147444215</v>
      </c>
      <c r="AA20" s="111">
        <f t="shared" si="4"/>
        <v>656228879.21000004</v>
      </c>
      <c r="AB20" s="111">
        <f t="shared" si="4"/>
        <v>58331839</v>
      </c>
      <c r="AC20" s="111">
        <f t="shared" si="4"/>
        <v>6609893280.2266006</v>
      </c>
    </row>
    <row r="21" spans="1:29">
      <c r="A21" s="87"/>
      <c r="B21" s="88"/>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row>
    <row r="22" spans="1:29" ht="15.75" thickBot="1">
      <c r="A22" s="114" t="str">
        <f>+Übersetzung!B27</f>
        <v>Charge des primes supportée par la proportion de 40 % des assurés aux revenus les plus faibles</v>
      </c>
      <c r="B22" s="112">
        <f>+B5</f>
        <v>2024</v>
      </c>
      <c r="C22" s="113">
        <f t="shared" ref="C22:AA22" si="5">(C16-C20)/C13</f>
        <v>0.14682382696214039</v>
      </c>
      <c r="D22" s="113">
        <f t="shared" si="5"/>
        <v>0.20715640657400203</v>
      </c>
      <c r="E22" s="113">
        <f t="shared" si="5"/>
        <v>0.1462400281044513</v>
      </c>
      <c r="F22" s="113">
        <f t="shared" si="5"/>
        <v>0.13750530849636283</v>
      </c>
      <c r="G22" s="113">
        <f t="shared" si="5"/>
        <v>0.15186530886787505</v>
      </c>
      <c r="H22" s="113">
        <f t="shared" si="5"/>
        <v>0.14357854444933818</v>
      </c>
      <c r="I22" s="113">
        <f t="shared" si="5"/>
        <v>0.13055971032191208</v>
      </c>
      <c r="J22" s="113">
        <f t="shared" si="5"/>
        <v>0.17024065011713357</v>
      </c>
      <c r="K22" s="113">
        <f t="shared" si="5"/>
        <v>0.10753149135364518</v>
      </c>
      <c r="L22" s="113">
        <f t="shared" si="5"/>
        <v>0.17235303585404332</v>
      </c>
      <c r="M22" s="113">
        <f t="shared" si="5"/>
        <v>0.17262168492049779</v>
      </c>
      <c r="N22" s="113">
        <f t="shared" si="5"/>
        <v>0.20380209518769465</v>
      </c>
      <c r="O22" s="113">
        <f t="shared" si="5"/>
        <v>0.20804369855817678</v>
      </c>
      <c r="P22" s="113">
        <f t="shared" si="5"/>
        <v>0.14426773784803396</v>
      </c>
      <c r="Q22" s="113">
        <f t="shared" si="5"/>
        <v>0.15813241416490489</v>
      </c>
      <c r="R22" s="113">
        <f t="shared" si="5"/>
        <v>0.11930442164240493</v>
      </c>
      <c r="S22" s="113">
        <f t="shared" si="5"/>
        <v>0.16591928711177456</v>
      </c>
      <c r="T22" s="113">
        <f t="shared" si="5"/>
        <v>0.21792587635100605</v>
      </c>
      <c r="U22" s="113">
        <f t="shared" si="5"/>
        <v>0.1542867456834556</v>
      </c>
      <c r="V22" s="113">
        <f t="shared" si="5"/>
        <v>0.16750154842401985</v>
      </c>
      <c r="W22" s="113">
        <f t="shared" si="5"/>
        <v>0.19554564248448755</v>
      </c>
      <c r="X22" s="113">
        <f t="shared" si="5"/>
        <v>0.14933069936535701</v>
      </c>
      <c r="Y22" s="113">
        <f t="shared" si="5"/>
        <v>0.22057970979565975</v>
      </c>
      <c r="Z22" s="113">
        <f t="shared" si="5"/>
        <v>0.22596310594341637</v>
      </c>
      <c r="AA22" s="113">
        <f t="shared" si="5"/>
        <v>0.15944618742838876</v>
      </c>
      <c r="AB22" s="113">
        <f>(AB16-AB20)/AB13</f>
        <v>0.20765495819767033</v>
      </c>
      <c r="AC22" s="113">
        <f>(AC16-AC20)/AC13</f>
        <v>0.16853959434180085</v>
      </c>
    </row>
    <row r="23" spans="1:29" ht="15.75" thickTop="1">
      <c r="C23" s="100"/>
      <c r="D23" s="100">
        <v>0</v>
      </c>
      <c r="E23" s="100">
        <v>0</v>
      </c>
      <c r="F23" s="100">
        <v>0</v>
      </c>
      <c r="G23" s="100">
        <v>0</v>
      </c>
      <c r="H23" s="100">
        <v>0</v>
      </c>
      <c r="I23" s="100">
        <v>0</v>
      </c>
      <c r="J23" s="100">
        <v>0</v>
      </c>
      <c r="K23" s="100">
        <v>0</v>
      </c>
      <c r="L23" s="100">
        <v>0</v>
      </c>
      <c r="M23" s="100">
        <v>0</v>
      </c>
      <c r="N23" s="100">
        <v>0</v>
      </c>
      <c r="O23" s="100">
        <v>0</v>
      </c>
      <c r="P23" s="100">
        <v>0</v>
      </c>
      <c r="Q23" s="100">
        <v>0</v>
      </c>
      <c r="R23" s="100">
        <v>0</v>
      </c>
      <c r="S23" s="100">
        <v>0</v>
      </c>
      <c r="T23" s="100">
        <v>0</v>
      </c>
      <c r="U23" s="100">
        <v>0</v>
      </c>
      <c r="V23" s="100">
        <v>0</v>
      </c>
      <c r="W23" s="100">
        <v>0</v>
      </c>
      <c r="X23" s="100">
        <v>0</v>
      </c>
      <c r="Y23" s="100">
        <v>0</v>
      </c>
      <c r="Z23" s="100">
        <v>0</v>
      </c>
      <c r="AA23" s="100">
        <v>0</v>
      </c>
      <c r="AB23" s="100">
        <v>0</v>
      </c>
      <c r="AC23" s="100"/>
    </row>
    <row r="24" spans="1:29">
      <c r="A24" s="105" t="str">
        <f>+Übersetzung!B28</f>
        <v>Coûts bruts cantonaux estimés</v>
      </c>
      <c r="B24" s="88">
        <f>+B2</f>
        <v>2026</v>
      </c>
      <c r="C24" s="101">
        <f>+_xlfn.XLOOKUP(C3,Statistikdaten!$A$5:$A$38,Statistikdaten!$O$5:$O$38)</f>
        <v>8732121871.3839073</v>
      </c>
      <c r="D24" s="101">
        <f>+_xlfn.XLOOKUP(D3,Statistikdaten!$A$5:$A$38,Statistikdaten!$O$5:$O$38)</f>
        <v>5958691545.5889626</v>
      </c>
      <c r="E24" s="101">
        <f>+_xlfn.XLOOKUP(E3,Statistikdaten!$A$5:$A$38,Statistikdaten!$O$5:$O$38)</f>
        <v>2113702667.7068591</v>
      </c>
      <c r="F24" s="101">
        <f>+_xlfn.XLOOKUP(F3,Statistikdaten!$A$5:$A$38,Statistikdaten!$O$5:$O$38)</f>
        <v>167879857.57185769</v>
      </c>
      <c r="G24" s="101">
        <f>+_xlfn.XLOOKUP(G3,Statistikdaten!$A$5:$A$38,Statistikdaten!$O$5:$O$38)</f>
        <v>818411915.1613034</v>
      </c>
      <c r="H24" s="101">
        <f>+_xlfn.XLOOKUP(H3,Statistikdaten!$A$5:$A$38,Statistikdaten!$O$5:$O$38)</f>
        <v>179100792.39638233</v>
      </c>
      <c r="I24" s="101">
        <f>+_xlfn.XLOOKUP(I3,Statistikdaten!$A$5:$A$38,Statistikdaten!$O$5:$O$38)</f>
        <v>210239910.91161084</v>
      </c>
      <c r="J24" s="101">
        <f>+_xlfn.XLOOKUP(J3,Statistikdaten!$A$5:$A$38,Statistikdaten!$O$5:$O$38)</f>
        <v>213256858.30343068</v>
      </c>
      <c r="K24" s="101">
        <f>+_xlfn.XLOOKUP(K3,Statistikdaten!$A$5:$A$38,Statistikdaten!$O$5:$O$38)</f>
        <v>509131684.20721716</v>
      </c>
      <c r="L24" s="101">
        <f>+_xlfn.XLOOKUP(L3,Statistikdaten!$A$5:$A$38,Statistikdaten!$O$5:$O$38)</f>
        <v>1817235533.9718993</v>
      </c>
      <c r="M24" s="101">
        <f>+_xlfn.XLOOKUP(M3,Statistikdaten!$A$5:$A$38,Statistikdaten!$O$5:$O$38)</f>
        <v>1612618405.3661399</v>
      </c>
      <c r="N24" s="101">
        <f>+_xlfn.XLOOKUP(N3,Statistikdaten!$A$5:$A$38,Statistikdaten!$O$5:$O$38)</f>
        <v>1283835912.0282035</v>
      </c>
      <c r="O24" s="101">
        <f>+_xlfn.XLOOKUP(O3,Statistikdaten!$A$5:$A$38,Statistikdaten!$O$5:$O$38)</f>
        <v>1862052828.5155518</v>
      </c>
      <c r="P24" s="101">
        <f>+_xlfn.XLOOKUP(P3,Statistikdaten!$A$5:$A$38,Statistikdaten!$O$5:$O$38)</f>
        <v>474714986.81129014</v>
      </c>
      <c r="Q24" s="101">
        <f>+_xlfn.XLOOKUP(Q3,Statistikdaten!$A$5:$A$38,Statistikdaten!$O$5:$O$38)</f>
        <v>269004825.32289994</v>
      </c>
      <c r="R24" s="101">
        <f>+_xlfn.XLOOKUP(R3,Statistikdaten!$A$5:$A$38,Statistikdaten!$O$5:$O$38)</f>
        <v>65000295.235682458</v>
      </c>
      <c r="S24" s="101">
        <f>+_xlfn.XLOOKUP(S3,Statistikdaten!$A$5:$A$38,Statistikdaten!$O$5:$O$38)</f>
        <v>2619523475.1957703</v>
      </c>
      <c r="T24" s="101">
        <f>+_xlfn.XLOOKUP(T3,Statistikdaten!$A$5:$A$38,Statistikdaten!$O$5:$O$38)</f>
        <v>1029957286.8969101</v>
      </c>
      <c r="U24" s="101">
        <f>+_xlfn.XLOOKUP(U3,Statistikdaten!$A$5:$A$38,Statistikdaten!$O$5:$O$38)</f>
        <v>3900216946.7645955</v>
      </c>
      <c r="V24" s="101">
        <f>+_xlfn.XLOOKUP(V3,Statistikdaten!$A$5:$A$38,Statistikdaten!$O$5:$O$38)</f>
        <v>1484422274.1321514</v>
      </c>
      <c r="W24" s="101">
        <f>+_xlfn.XLOOKUP(W3,Statistikdaten!$A$5:$A$38,Statistikdaten!$O$5:$O$38)</f>
        <v>2468087084.8031969</v>
      </c>
      <c r="X24" s="101">
        <f>+_xlfn.XLOOKUP(X3,Statistikdaten!$A$5:$A$38,Statistikdaten!$O$5:$O$38)</f>
        <v>5205655372.4356918</v>
      </c>
      <c r="Y24" s="101">
        <f>+_xlfn.XLOOKUP(Y3,Statistikdaten!$A$5:$A$38,Statistikdaten!$O$5:$O$38)</f>
        <v>2006029322.7730699</v>
      </c>
      <c r="Z24" s="101">
        <f>+_xlfn.XLOOKUP(Z3,Statistikdaten!$A$5:$A$38,Statistikdaten!$O$5:$O$38)</f>
        <v>1104062887.1108124</v>
      </c>
      <c r="AA24" s="101">
        <f>+_xlfn.XLOOKUP(AA3,Statistikdaten!$A$5:$A$38,Statistikdaten!$O$5:$O$38)</f>
        <v>3323507159.0800195</v>
      </c>
      <c r="AB24" s="101">
        <f>+_xlfn.XLOOKUP(AB3,Statistikdaten!$A$5:$A$38,Statistikdaten!$O$5:$O$38)</f>
        <v>452986720.33930278</v>
      </c>
      <c r="AC24" s="102"/>
    </row>
    <row r="25" spans="1:29">
      <c r="A25" s="105" t="str">
        <f>+Übersetzung!B29</f>
        <v>Pourcentage minimal du canton (indicatif) (Art. 65 al. 1quater ss. LAMal)</v>
      </c>
      <c r="B25" s="88">
        <f>+B2</f>
        <v>2026</v>
      </c>
      <c r="C25" s="99">
        <f>+IF(C22&lt;0.11,0.035,IF(C22&gt;0.185,0.075,0.035+((C22-0.11)/(0.185-0.11))*(0.075-0.035)))</f>
        <v>5.4639374379808203E-2</v>
      </c>
      <c r="D25" s="99">
        <f t="shared" ref="D25:AB25" si="6">+IF(D22&lt;0.11,0.035,IF(D22&gt;0.185,0.075,0.035+((D22-0.11)/(0.185-0.11))*(0.075-0.035)))</f>
        <v>7.4999999999999997E-2</v>
      </c>
      <c r="E25" s="99">
        <f t="shared" si="6"/>
        <v>5.4328014989040697E-2</v>
      </c>
      <c r="F25" s="99">
        <f t="shared" si="6"/>
        <v>4.9669497864726846E-2</v>
      </c>
      <c r="G25" s="99">
        <f t="shared" si="6"/>
        <v>5.7328164729533365E-2</v>
      </c>
      <c r="H25" s="99">
        <f t="shared" si="6"/>
        <v>5.2908557039647031E-2</v>
      </c>
      <c r="I25" s="99">
        <f t="shared" si="6"/>
        <v>4.5965178838353105E-2</v>
      </c>
      <c r="J25" s="99">
        <f t="shared" si="6"/>
        <v>6.7128346729137908E-2</v>
      </c>
      <c r="K25" s="99">
        <f t="shared" si="6"/>
        <v>3.5000000000000003E-2</v>
      </c>
      <c r="L25" s="99">
        <f t="shared" si="6"/>
        <v>6.8254952455489765E-2</v>
      </c>
      <c r="M25" s="99">
        <f t="shared" si="6"/>
        <v>6.839823195759881E-2</v>
      </c>
      <c r="N25" s="99">
        <f t="shared" si="6"/>
        <v>7.4999999999999997E-2</v>
      </c>
      <c r="O25" s="99">
        <f t="shared" si="6"/>
        <v>7.4999999999999997E-2</v>
      </c>
      <c r="P25" s="99">
        <f t="shared" si="6"/>
        <v>5.3276126852284778E-2</v>
      </c>
      <c r="Q25" s="99">
        <f t="shared" si="6"/>
        <v>6.0670620887949278E-2</v>
      </c>
      <c r="R25" s="99">
        <f t="shared" si="6"/>
        <v>3.9962358209282629E-2</v>
      </c>
      <c r="S25" s="99">
        <f t="shared" si="6"/>
        <v>6.482361979294643E-2</v>
      </c>
      <c r="T25" s="99">
        <f t="shared" si="6"/>
        <v>7.4999999999999997E-2</v>
      </c>
      <c r="U25" s="99">
        <f t="shared" si="6"/>
        <v>5.8619597697842987E-2</v>
      </c>
      <c r="V25" s="99">
        <f t="shared" si="6"/>
        <v>6.5667492492810592E-2</v>
      </c>
      <c r="W25" s="99">
        <f t="shared" si="6"/>
        <v>7.4999999999999997E-2</v>
      </c>
      <c r="X25" s="99">
        <f t="shared" si="6"/>
        <v>5.5976372994857068E-2</v>
      </c>
      <c r="Y25" s="99">
        <f t="shared" si="6"/>
        <v>7.4999999999999997E-2</v>
      </c>
      <c r="Z25" s="99">
        <f t="shared" si="6"/>
        <v>7.4999999999999997E-2</v>
      </c>
      <c r="AA25" s="99">
        <f t="shared" si="6"/>
        <v>6.1371299961807332E-2</v>
      </c>
      <c r="AB25" s="99">
        <f t="shared" si="6"/>
        <v>7.4999999999999997E-2</v>
      </c>
      <c r="AC25" s="102"/>
    </row>
    <row r="26" spans="1:29" ht="15.75" thickBot="1">
      <c r="A26" s="114" t="str">
        <f>+Übersetzung!B30</f>
        <v>Contribution minimal du canton en francs (indicatif) (Art. 65 al. 1quater ss. LAMal)</v>
      </c>
      <c r="B26" s="112">
        <f>+B2</f>
        <v>2026</v>
      </c>
      <c r="C26" s="116">
        <f>C25*C24</f>
        <v>477117676.06065673</v>
      </c>
      <c r="D26" s="116">
        <f t="shared" ref="D26:AB26" si="7">D25*D24</f>
        <v>446901865.91917217</v>
      </c>
      <c r="E26" s="116">
        <f t="shared" si="7"/>
        <v>114833270.21355355</v>
      </c>
      <c r="F26" s="116">
        <f t="shared" si="7"/>
        <v>8338508.2271960322</v>
      </c>
      <c r="G26" s="116">
        <f t="shared" si="7"/>
        <v>46918053.088980086</v>
      </c>
      <c r="H26" s="116">
        <f t="shared" si="7"/>
        <v>9475964.4903499763</v>
      </c>
      <c r="I26" s="116">
        <f t="shared" si="7"/>
        <v>9663715.1040116157</v>
      </c>
      <c r="J26" s="116">
        <f t="shared" si="7"/>
        <v>14315580.326559328</v>
      </c>
      <c r="K26" s="116">
        <f t="shared" si="7"/>
        <v>17819608.947252601</v>
      </c>
      <c r="L26" s="116">
        <f t="shared" si="7"/>
        <v>124035324.97167854</v>
      </c>
      <c r="M26" s="116">
        <f t="shared" si="7"/>
        <v>110300247.74932635</v>
      </c>
      <c r="N26" s="116">
        <f t="shared" si="7"/>
        <v>96287693.402115256</v>
      </c>
      <c r="O26" s="116">
        <f t="shared" si="7"/>
        <v>139653962.13866639</v>
      </c>
      <c r="P26" s="116">
        <f t="shared" si="7"/>
        <v>25290975.856038988</v>
      </c>
      <c r="Q26" s="116">
        <f t="shared" si="7"/>
        <v>16320689.77419468</v>
      </c>
      <c r="R26" s="116">
        <f t="shared" si="7"/>
        <v>2597565.0819174694</v>
      </c>
      <c r="S26" s="116">
        <f t="shared" si="7"/>
        <v>169806993.79478836</v>
      </c>
      <c r="T26" s="116">
        <f t="shared" si="7"/>
        <v>77246796.517268255</v>
      </c>
      <c r="U26" s="116">
        <f t="shared" si="7"/>
        <v>228629148.35365009</v>
      </c>
      <c r="V26" s="116">
        <f t="shared" si="7"/>
        <v>97478288.542733878</v>
      </c>
      <c r="W26" s="116">
        <f t="shared" si="7"/>
        <v>185106531.36023977</v>
      </c>
      <c r="X26" s="116">
        <f t="shared" si="7"/>
        <v>291393706.81014186</v>
      </c>
      <c r="Y26" s="116">
        <f t="shared" si="7"/>
        <v>150452199.20798025</v>
      </c>
      <c r="Z26" s="116">
        <f t="shared" si="7"/>
        <v>82804716.533310935</v>
      </c>
      <c r="AA26" s="116">
        <f t="shared" si="7"/>
        <v>203967954.78511399</v>
      </c>
      <c r="AB26" s="116">
        <f t="shared" si="7"/>
        <v>33974004.025447704</v>
      </c>
      <c r="AC26" s="115"/>
    </row>
    <row r="27" spans="1:29" ht="15.75" thickTop="1">
      <c r="A27" s="105"/>
      <c r="B27" s="88"/>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2"/>
    </row>
    <row r="28" spans="1:29">
      <c r="A28" s="105" t="str">
        <f>+Übersetzung!B31</f>
        <v>Pourcentage minimal du canton (Disposition transitoire, par. 1)</v>
      </c>
      <c r="B28" s="90">
        <f>+B2</f>
        <v>2026</v>
      </c>
      <c r="C28" s="103">
        <v>3.5000000000000003E-2</v>
      </c>
      <c r="D28" s="103">
        <v>3.5000000000000003E-2</v>
      </c>
      <c r="E28" s="103">
        <v>3.5000000000000003E-2</v>
      </c>
      <c r="F28" s="103">
        <v>3.5000000000000003E-2</v>
      </c>
      <c r="G28" s="103">
        <v>3.5000000000000003E-2</v>
      </c>
      <c r="H28" s="103">
        <v>3.5000000000000003E-2</v>
      </c>
      <c r="I28" s="103">
        <v>3.5000000000000003E-2</v>
      </c>
      <c r="J28" s="103">
        <v>3.5000000000000003E-2</v>
      </c>
      <c r="K28" s="103">
        <v>3.5000000000000003E-2</v>
      </c>
      <c r="L28" s="103">
        <v>3.5000000000000003E-2</v>
      </c>
      <c r="M28" s="103">
        <v>3.5000000000000003E-2</v>
      </c>
      <c r="N28" s="103">
        <v>3.5000000000000003E-2</v>
      </c>
      <c r="O28" s="103">
        <v>3.5000000000000003E-2</v>
      </c>
      <c r="P28" s="103">
        <v>3.5000000000000003E-2</v>
      </c>
      <c r="Q28" s="103">
        <v>3.5000000000000003E-2</v>
      </c>
      <c r="R28" s="103">
        <v>3.5000000000000003E-2</v>
      </c>
      <c r="S28" s="103">
        <v>3.5000000000000003E-2</v>
      </c>
      <c r="T28" s="103">
        <v>3.5000000000000003E-2</v>
      </c>
      <c r="U28" s="103">
        <v>3.5000000000000003E-2</v>
      </c>
      <c r="V28" s="103">
        <v>3.5000000000000003E-2</v>
      </c>
      <c r="W28" s="103">
        <v>3.5000000000000003E-2</v>
      </c>
      <c r="X28" s="103">
        <v>3.5000000000000003E-2</v>
      </c>
      <c r="Y28" s="103">
        <v>3.5000000000000003E-2</v>
      </c>
      <c r="Z28" s="103">
        <v>3.5000000000000003E-2</v>
      </c>
      <c r="AA28" s="103">
        <v>3.5000000000000003E-2</v>
      </c>
      <c r="AB28" s="103">
        <v>3.5000000000000003E-2</v>
      </c>
      <c r="AC28" s="102"/>
    </row>
    <row r="29" spans="1:29" ht="15.75" thickBot="1">
      <c r="A29" s="137" t="str">
        <f>+Übersetzung!B32</f>
        <v>Contribution minimal du canton en francs (Disposition transitoire, par. 1)</v>
      </c>
      <c r="B29" s="138">
        <f>+B2</f>
        <v>2026</v>
      </c>
      <c r="C29" s="139">
        <f>C28*C24</f>
        <v>305624265.49843681</v>
      </c>
      <c r="D29" s="139">
        <f t="shared" ref="D29:AB29" si="8">D28*D24</f>
        <v>208554204.09561372</v>
      </c>
      <c r="E29" s="139">
        <f t="shared" si="8"/>
        <v>73979593.369740069</v>
      </c>
      <c r="F29" s="139">
        <f t="shared" si="8"/>
        <v>5875795.01501502</v>
      </c>
      <c r="G29" s="139">
        <f t="shared" si="8"/>
        <v>28644417.03064562</v>
      </c>
      <c r="H29" s="139">
        <f t="shared" si="8"/>
        <v>6268527.7338733822</v>
      </c>
      <c r="I29" s="139">
        <f t="shared" si="8"/>
        <v>7358396.8819063799</v>
      </c>
      <c r="J29" s="139">
        <f t="shared" si="8"/>
        <v>7463990.0406200746</v>
      </c>
      <c r="K29" s="139">
        <f t="shared" si="8"/>
        <v>17819608.947252601</v>
      </c>
      <c r="L29" s="139">
        <f t="shared" si="8"/>
        <v>63603243.689016484</v>
      </c>
      <c r="M29" s="139">
        <f t="shared" si="8"/>
        <v>56441644.187814899</v>
      </c>
      <c r="N29" s="139">
        <f t="shared" si="8"/>
        <v>44934256.920987129</v>
      </c>
      <c r="O29" s="139">
        <f t="shared" si="8"/>
        <v>65171848.998044319</v>
      </c>
      <c r="P29" s="139">
        <f t="shared" si="8"/>
        <v>16615024.538395157</v>
      </c>
      <c r="Q29" s="139">
        <f t="shared" si="8"/>
        <v>9415168.8863014989</v>
      </c>
      <c r="R29" s="139">
        <f t="shared" si="8"/>
        <v>2275010.3332488863</v>
      </c>
      <c r="S29" s="139">
        <f t="shared" si="8"/>
        <v>91683321.631851971</v>
      </c>
      <c r="T29" s="139">
        <f t="shared" si="8"/>
        <v>36048505.041391857</v>
      </c>
      <c r="U29" s="139">
        <f t="shared" si="8"/>
        <v>136507593.13676086</v>
      </c>
      <c r="V29" s="139">
        <f t="shared" si="8"/>
        <v>51954779.594625302</v>
      </c>
      <c r="W29" s="139">
        <f t="shared" si="8"/>
        <v>86383047.968111902</v>
      </c>
      <c r="X29" s="139">
        <f t="shared" si="8"/>
        <v>182197938.03524923</v>
      </c>
      <c r="Y29" s="139">
        <f t="shared" si="8"/>
        <v>70211026.29705745</v>
      </c>
      <c r="Z29" s="139">
        <f t="shared" si="8"/>
        <v>38642201.048878439</v>
      </c>
      <c r="AA29" s="139">
        <f t="shared" si="8"/>
        <v>116322750.56780069</v>
      </c>
      <c r="AB29" s="139">
        <f t="shared" si="8"/>
        <v>15854535.211875599</v>
      </c>
      <c r="AC29" s="140"/>
    </row>
    <row r="30" spans="1:29" ht="15.75" thickTop="1">
      <c r="C30" s="92"/>
      <c r="D30" s="92">
        <v>0</v>
      </c>
      <c r="E30" s="92">
        <v>0</v>
      </c>
      <c r="F30" s="92">
        <v>0</v>
      </c>
      <c r="G30" s="92">
        <v>0</v>
      </c>
      <c r="H30" s="92">
        <v>0</v>
      </c>
      <c r="I30" s="92">
        <v>0</v>
      </c>
      <c r="J30" s="92">
        <v>0</v>
      </c>
      <c r="K30" s="92">
        <v>0</v>
      </c>
      <c r="L30" s="92">
        <v>0</v>
      </c>
      <c r="M30" s="92">
        <v>0</v>
      </c>
      <c r="N30" s="92">
        <v>0</v>
      </c>
      <c r="O30" s="92">
        <v>0</v>
      </c>
      <c r="P30" s="92">
        <v>0</v>
      </c>
      <c r="Q30" s="92">
        <v>0</v>
      </c>
      <c r="R30" s="92">
        <v>0</v>
      </c>
      <c r="S30" s="92">
        <v>0</v>
      </c>
      <c r="T30" s="92">
        <v>0</v>
      </c>
      <c r="U30" s="92">
        <v>0</v>
      </c>
      <c r="V30" s="92">
        <v>0</v>
      </c>
      <c r="W30" s="92">
        <v>0</v>
      </c>
      <c r="X30" s="92">
        <v>0</v>
      </c>
      <c r="Y30" s="92">
        <v>0</v>
      </c>
      <c r="Z30" s="92">
        <v>0</v>
      </c>
      <c r="AA30" s="92">
        <v>0</v>
      </c>
      <c r="AB30" s="92">
        <v>0</v>
      </c>
      <c r="AC30" s="92"/>
    </row>
    <row r="31" spans="1:2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9">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row>
    <row r="33" spans="3:28">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row>
    <row r="34" spans="3:28">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3:28">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row>
    <row r="26004" spans="3:3">
      <c r="C26004" s="93"/>
    </row>
  </sheetData>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5E8E1-9207-48E8-8516-E8DE6531E638}">
  <sheetPr>
    <tabColor theme="5" tint="0.79998168889431442"/>
  </sheetPr>
  <dimension ref="A1"/>
  <sheetViews>
    <sheetView workbookViewId="0"/>
  </sheetViews>
  <sheetFormatPr baseColWidth="10" defaultRowHeight="15"/>
  <sheetData/>
  <sheetProtection sheet="1" objects="1" scenarios="1"/>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F961F-9359-466E-A492-A255D0E19361}">
  <sheetPr>
    <tabColor theme="5" tint="0.79998168889431442"/>
  </sheetPr>
  <dimension ref="A1:V59"/>
  <sheetViews>
    <sheetView showGridLines="0" zoomScale="85" zoomScaleNormal="85" workbookViewId="0"/>
  </sheetViews>
  <sheetFormatPr baseColWidth="10" defaultColWidth="10.85546875" defaultRowHeight="12.75"/>
  <cols>
    <col min="1" max="1" width="8.85546875" style="10" customWidth="1"/>
    <col min="2" max="2" width="22.85546875" style="2" customWidth="1"/>
    <col min="3" max="3" width="22.140625" style="2" customWidth="1"/>
    <col min="4" max="9" width="20.5703125" style="2" customWidth="1"/>
    <col min="10" max="10" width="8.42578125" style="2" customWidth="1"/>
    <col min="11" max="11" width="20.5703125" style="2" customWidth="1"/>
    <col min="12" max="12" width="22.42578125" style="2" customWidth="1"/>
    <col min="13" max="15" width="20.5703125" style="2" customWidth="1"/>
    <col min="16" max="16" width="10.85546875" style="2"/>
    <col min="17" max="17" width="11.7109375" style="2" bestFit="1" customWidth="1"/>
    <col min="18" max="16384" width="10.85546875" style="2"/>
  </cols>
  <sheetData>
    <row r="1" spans="1:22">
      <c r="B1" s="134">
        <f>+Mindestbeiträge!B2-4</f>
        <v>2022</v>
      </c>
      <c r="C1" s="134">
        <f>+Mindestbeiträge!B2-2</f>
        <v>2024</v>
      </c>
      <c r="D1" s="134">
        <f>+C1</f>
        <v>2024</v>
      </c>
      <c r="E1" s="134">
        <f>+C1</f>
        <v>2024</v>
      </c>
      <c r="F1" s="134">
        <f>+C1</f>
        <v>2024</v>
      </c>
      <c r="G1" s="134">
        <f>+C1</f>
        <v>2024</v>
      </c>
      <c r="H1" s="134">
        <f>+C1</f>
        <v>2024</v>
      </c>
      <c r="I1" s="134">
        <f>+C1</f>
        <v>2024</v>
      </c>
      <c r="J1" s="134"/>
      <c r="K1" s="134">
        <f>+Mindestbeiträge!B2</f>
        <v>2026</v>
      </c>
      <c r="L1" s="134">
        <f>+K1</f>
        <v>2026</v>
      </c>
      <c r="M1" s="134">
        <f>+K1</f>
        <v>2026</v>
      </c>
      <c r="N1" s="134">
        <f>+K1</f>
        <v>2026</v>
      </c>
      <c r="O1" s="134">
        <f>+K1</f>
        <v>2026</v>
      </c>
    </row>
    <row r="2" spans="1:22" s="1" customFormat="1" ht="28.5" customHeight="1">
      <c r="A2" s="11"/>
      <c r="B2" s="36" t="str">
        <f>+Übersetzung!B35</f>
        <v>Stat AOS (T 7.14)</v>
      </c>
      <c r="C2" s="37" t="str">
        <f>+Übersetzung!B35</f>
        <v>Stat AOS (T 7.14)</v>
      </c>
      <c r="D2" s="36" t="str">
        <f>+Übersetzung!B36</f>
        <v>Stat AOS (T 3.06)</v>
      </c>
      <c r="E2" s="36" t="str">
        <f>+Übersetzung!B37</f>
        <v>Stat AOS (T 2.10)</v>
      </c>
      <c r="F2" s="37" t="str">
        <f>+Übersetzung!B42</f>
        <v>Stat AOS (T 4.07)</v>
      </c>
      <c r="G2" s="36" t="str">
        <f>+Übersetzung!B42</f>
        <v>Stat AOS (T 4.07)</v>
      </c>
      <c r="H2" s="36" t="str">
        <f>+Übersetzung!B40</f>
        <v>calculé</v>
      </c>
      <c r="I2" s="36" t="str">
        <f>+Übersetzung!B38</f>
        <v>Stat AOS (T 3.04)</v>
      </c>
      <c r="J2" s="38"/>
      <c r="K2" s="36" t="str">
        <f>+H2</f>
        <v>calculé</v>
      </c>
      <c r="L2" s="36" t="str">
        <f>+K2</f>
        <v>calculé</v>
      </c>
      <c r="M2" s="36" t="str">
        <f>+L2</f>
        <v>calculé</v>
      </c>
      <c r="N2" s="36" t="str">
        <f>+M2</f>
        <v>calculé</v>
      </c>
      <c r="O2" s="36" t="str">
        <f>+N2</f>
        <v>calculé</v>
      </c>
      <c r="P2" s="2"/>
      <c r="Q2" s="4"/>
      <c r="R2" s="2"/>
      <c r="S2" s="2"/>
      <c r="T2" s="2"/>
      <c r="U2" s="2"/>
      <c r="V2" s="2"/>
    </row>
    <row r="3" spans="1:22" s="5" customFormat="1" ht="51" customHeight="1">
      <c r="A3" s="21"/>
      <c r="B3" s="149" t="str">
        <f>+Übersetzung!B43</f>
        <v>Effectif des assurés</v>
      </c>
      <c r="C3" s="149" t="str">
        <f>+Übersetzung!B43</f>
        <v>Effectif des assurés</v>
      </c>
      <c r="D3" s="149" t="str">
        <f>+Übersetzung!B45</f>
        <v>Primes à recevoir</v>
      </c>
      <c r="E3" s="149" t="str">
        <f>+Übersetzung!B46</f>
        <v>Participation aux coûts</v>
      </c>
      <c r="F3" s="23" t="str">
        <f>+Übersetzung!B47</f>
        <v>Réduction des primes</v>
      </c>
      <c r="G3" s="24" t="str">
        <f>+F3</f>
        <v>Réduction des primes</v>
      </c>
      <c r="H3" s="22" t="str">
        <f>+Übersetzung!B50</f>
        <v xml:space="preserve">Primes moyennes (mensuelles) </v>
      </c>
      <c r="I3" s="22" t="str">
        <f>+Übersetzung!B51</f>
        <v xml:space="preserve">Primes moyennes </v>
      </c>
      <c r="J3" s="25"/>
      <c r="K3" s="126" t="str">
        <f>+Übersetzung!B52</f>
        <v>Primes moyennes estimées</v>
      </c>
      <c r="L3" s="148" t="str">
        <f>+Übersetzung!B53</f>
        <v>Effectif des assurés estimé</v>
      </c>
      <c r="M3" s="148" t="str">
        <f>+Übersetzung!B54</f>
        <v>Primes à recevoir estimées</v>
      </c>
      <c r="N3" s="148" t="str">
        <f>+Übersetzung!B55</f>
        <v>Participation aux coûts estimée</v>
      </c>
      <c r="O3" s="148" t="str">
        <f>+Übersetzung!B56</f>
        <v>Coûts bruts estimés</v>
      </c>
    </row>
    <row r="4" spans="1:22" ht="15">
      <c r="A4" s="26" t="str">
        <f>+Übersetzung!B34</f>
        <v>Canton</v>
      </c>
      <c r="B4" s="150"/>
      <c r="C4" s="150"/>
      <c r="D4" s="150"/>
      <c r="E4" s="150"/>
      <c r="F4" s="27" t="str">
        <f>+Übersetzung!B48</f>
        <v>Confédération</v>
      </c>
      <c r="G4" s="27" t="str">
        <f>+A4</f>
        <v>Canton</v>
      </c>
      <c r="H4" s="28" t="str">
        <f>+Übersetzung!B49</f>
        <v>Toutes classes d'âges</v>
      </c>
      <c r="I4" s="71" t="str">
        <f>+H4</f>
        <v>Toutes classes d'âges</v>
      </c>
      <c r="J4" s="72" t="str">
        <f>+A4</f>
        <v>Canton</v>
      </c>
      <c r="K4" s="28" t="str">
        <f>+I4</f>
        <v>Toutes classes d'âges</v>
      </c>
      <c r="L4" s="148"/>
      <c r="M4" s="148"/>
      <c r="N4" s="148"/>
      <c r="O4" s="148"/>
      <c r="P4" s="29" t="str">
        <f>+J4</f>
        <v>Canton</v>
      </c>
    </row>
    <row r="5" spans="1:22" ht="14.25">
      <c r="A5" s="30" t="s">
        <v>39</v>
      </c>
      <c r="B5" s="31">
        <v>1568620.11971</v>
      </c>
      <c r="C5" s="31">
        <v>1608428.2471</v>
      </c>
      <c r="D5" s="31">
        <v>6704754792.6096687</v>
      </c>
      <c r="E5" s="31">
        <v>1029249348.5578002</v>
      </c>
      <c r="F5" s="31">
        <v>593834145</v>
      </c>
      <c r="G5" s="31">
        <v>576383102</v>
      </c>
      <c r="H5" s="32">
        <f>I5/12</f>
        <v>347.37612141430418</v>
      </c>
      <c r="I5" s="73">
        <v>4168.5134569716502</v>
      </c>
      <c r="J5" s="74" t="s">
        <v>39</v>
      </c>
      <c r="K5" s="32">
        <v>4590</v>
      </c>
      <c r="L5" s="31">
        <v>1649246.6171780718</v>
      </c>
      <c r="M5" s="31">
        <v>7570041972.8473492</v>
      </c>
      <c r="N5" s="31">
        <v>1162079898.5365572</v>
      </c>
      <c r="O5" s="31">
        <v>8732121871.3839073</v>
      </c>
      <c r="P5" s="31" t="s">
        <v>39</v>
      </c>
      <c r="Q5" s="6"/>
      <c r="R5" s="130"/>
      <c r="S5" s="132"/>
    </row>
    <row r="6" spans="1:22" ht="14.25">
      <c r="A6" s="30" t="s">
        <v>14</v>
      </c>
      <c r="B6" s="31">
        <v>1052643.8006899999</v>
      </c>
      <c r="C6" s="31">
        <v>1069813.5112600001</v>
      </c>
      <c r="D6" s="31">
        <v>4683177662.99298</v>
      </c>
      <c r="E6" s="31">
        <v>673262552.80957007</v>
      </c>
      <c r="F6" s="31">
        <v>394128013</v>
      </c>
      <c r="G6" s="31">
        <v>248117591.44999999</v>
      </c>
      <c r="H6" s="32">
        <f t="shared" ref="H6:H32" si="0">I6/12</f>
        <v>364.79704279465562</v>
      </c>
      <c r="I6" s="75">
        <v>4377.5645135358673</v>
      </c>
      <c r="J6" s="76" t="s">
        <v>14</v>
      </c>
      <c r="K6" s="32">
        <v>4791.6000000000004</v>
      </c>
      <c r="L6" s="31">
        <v>1087263.277591374</v>
      </c>
      <c r="M6" s="31">
        <v>5209730720.9068279</v>
      </c>
      <c r="N6" s="31">
        <v>748960824.68213427</v>
      </c>
      <c r="O6" s="31">
        <v>5958691545.5889626</v>
      </c>
      <c r="P6" s="31" t="s">
        <v>14</v>
      </c>
      <c r="Q6" s="6"/>
      <c r="R6" s="130"/>
      <c r="S6" s="132"/>
    </row>
    <row r="7" spans="1:22" ht="14.25">
      <c r="A7" s="33" t="s">
        <v>15</v>
      </c>
      <c r="B7" s="31">
        <v>425554.69243999996</v>
      </c>
      <c r="C7" s="31">
        <v>438062.10734000005</v>
      </c>
      <c r="D7" s="31">
        <v>1597102960.7281902</v>
      </c>
      <c r="E7" s="31">
        <v>246422829.05107999</v>
      </c>
      <c r="F7" s="31">
        <v>158645302</v>
      </c>
      <c r="G7" s="31">
        <v>79567472</v>
      </c>
      <c r="H7" s="32">
        <f t="shared" si="0"/>
        <v>303.81973506491198</v>
      </c>
      <c r="I7" s="75">
        <v>3645.836820778944</v>
      </c>
      <c r="J7" s="76" t="s">
        <v>15</v>
      </c>
      <c r="K7" s="32">
        <v>4060.7999999999997</v>
      </c>
      <c r="L7" s="31">
        <v>450937.12581777718</v>
      </c>
      <c r="M7" s="31">
        <v>1831165480.5208294</v>
      </c>
      <c r="N7" s="31">
        <v>282537187.18602979</v>
      </c>
      <c r="O7" s="31">
        <v>2113702667.7068591</v>
      </c>
      <c r="P7" s="31" t="s">
        <v>15</v>
      </c>
      <c r="Q7" s="6"/>
      <c r="R7" s="130"/>
      <c r="S7" s="132"/>
    </row>
    <row r="8" spans="1:22" ht="14.25">
      <c r="A8" s="33" t="s">
        <v>16</v>
      </c>
      <c r="B8" s="31">
        <v>37456.051699999996</v>
      </c>
      <c r="C8" s="31">
        <v>38323.085579999999</v>
      </c>
      <c r="D8" s="31">
        <v>124807621.64972001</v>
      </c>
      <c r="E8" s="31">
        <v>20955713.47044</v>
      </c>
      <c r="F8" s="31">
        <v>13944234</v>
      </c>
      <c r="G8" s="31">
        <v>4047576</v>
      </c>
      <c r="H8" s="32">
        <f t="shared" si="0"/>
        <v>271.39346897747026</v>
      </c>
      <c r="I8" s="75">
        <v>3256.7216277296434</v>
      </c>
      <c r="J8" s="76" t="s">
        <v>16</v>
      </c>
      <c r="K8" s="32">
        <v>3666</v>
      </c>
      <c r="L8" s="31">
        <v>39210.189587921894</v>
      </c>
      <c r="M8" s="31">
        <v>143744555.02932167</v>
      </c>
      <c r="N8" s="31">
        <v>24135302.542536009</v>
      </c>
      <c r="O8" s="31">
        <v>167879857.57185769</v>
      </c>
      <c r="P8" s="31" t="s">
        <v>16</v>
      </c>
      <c r="Q8" s="6"/>
      <c r="R8" s="130"/>
      <c r="S8" s="132"/>
    </row>
    <row r="9" spans="1:22" ht="14.25">
      <c r="A9" s="33" t="s">
        <v>17</v>
      </c>
      <c r="B9" s="31">
        <v>165136.21244999999</v>
      </c>
      <c r="C9" s="31">
        <v>169128.64974999998</v>
      </c>
      <c r="D9" s="31">
        <v>620605789.27674007</v>
      </c>
      <c r="E9" s="31">
        <v>102326755.15066001</v>
      </c>
      <c r="F9" s="31">
        <v>61683519</v>
      </c>
      <c r="G9" s="31">
        <v>27672959.949999999</v>
      </c>
      <c r="H9" s="32">
        <f t="shared" si="0"/>
        <v>305.78585699608834</v>
      </c>
      <c r="I9" s="75">
        <v>3669.4302839530601</v>
      </c>
      <c r="J9" s="76" t="s">
        <v>17</v>
      </c>
      <c r="K9" s="32">
        <v>4056</v>
      </c>
      <c r="L9" s="31">
        <v>173217.61073404204</v>
      </c>
      <c r="M9" s="31">
        <v>702570629.1372745</v>
      </c>
      <c r="N9" s="31">
        <v>115841286.0240289</v>
      </c>
      <c r="O9" s="31">
        <v>818411915.1613034</v>
      </c>
      <c r="P9" s="31" t="s">
        <v>17</v>
      </c>
      <c r="Q9" s="6"/>
      <c r="R9" s="130"/>
      <c r="S9" s="132"/>
    </row>
    <row r="10" spans="1:22" ht="14.25">
      <c r="A10" s="33" t="s">
        <v>18</v>
      </c>
      <c r="B10" s="31">
        <v>38757.741720000005</v>
      </c>
      <c r="C10" s="31">
        <v>39858.137570000006</v>
      </c>
      <c r="D10" s="31">
        <v>137381472.70885003</v>
      </c>
      <c r="E10" s="31">
        <v>21927134.788699999</v>
      </c>
      <c r="F10" s="31">
        <v>14478285</v>
      </c>
      <c r="G10" s="31">
        <v>7375646</v>
      </c>
      <c r="H10" s="32">
        <f t="shared" si="0"/>
        <v>287.23008040615866</v>
      </c>
      <c r="I10" s="75">
        <v>3446.760964873904</v>
      </c>
      <c r="J10" s="76" t="s">
        <v>18</v>
      </c>
      <c r="K10" s="32">
        <v>3768</v>
      </c>
      <c r="L10" s="31">
        <v>40989.775462827085</v>
      </c>
      <c r="M10" s="31">
        <v>154449473.94393244</v>
      </c>
      <c r="N10" s="31">
        <v>24651318.452449888</v>
      </c>
      <c r="O10" s="31">
        <v>179100792.39638233</v>
      </c>
      <c r="P10" s="31" t="s">
        <v>18</v>
      </c>
      <c r="Q10" s="6"/>
      <c r="R10" s="130"/>
      <c r="S10" s="132"/>
    </row>
    <row r="11" spans="1:22" ht="14.25">
      <c r="A11" s="33" t="s">
        <v>19</v>
      </c>
      <c r="B11" s="31">
        <v>43693.135249999992</v>
      </c>
      <c r="C11" s="31">
        <v>45189.01756</v>
      </c>
      <c r="D11" s="31">
        <v>159665696.96381</v>
      </c>
      <c r="E11" s="31">
        <v>25755518.153399996</v>
      </c>
      <c r="F11" s="31">
        <v>16572265</v>
      </c>
      <c r="G11" s="31">
        <v>4881031</v>
      </c>
      <c r="H11" s="32">
        <f t="shared" si="0"/>
        <v>294.44045180486029</v>
      </c>
      <c r="I11" s="75">
        <v>3533.2854216583237</v>
      </c>
      <c r="J11" s="76" t="s">
        <v>19</v>
      </c>
      <c r="K11" s="32">
        <v>3873.6000000000004</v>
      </c>
      <c r="L11" s="31">
        <v>46736.11303821436</v>
      </c>
      <c r="M11" s="31">
        <v>181037007.46482715</v>
      </c>
      <c r="N11" s="31">
        <v>29202903.446783684</v>
      </c>
      <c r="O11" s="31">
        <v>210239910.91161084</v>
      </c>
      <c r="P11" s="31" t="s">
        <v>19</v>
      </c>
      <c r="Q11" s="6"/>
      <c r="R11" s="130"/>
      <c r="S11" s="132"/>
    </row>
    <row r="12" spans="1:22" ht="14.25">
      <c r="A12" s="33" t="s">
        <v>20</v>
      </c>
      <c r="B12" s="31">
        <v>41964.575089999998</v>
      </c>
      <c r="C12" s="31">
        <v>42724.547450000005</v>
      </c>
      <c r="D12" s="31">
        <v>160693606.87515</v>
      </c>
      <c r="E12" s="31">
        <v>24973936.405160002</v>
      </c>
      <c r="F12" s="31">
        <v>15510431</v>
      </c>
      <c r="G12" s="31">
        <v>6287536</v>
      </c>
      <c r="H12" s="32">
        <f t="shared" si="0"/>
        <v>313.42950845609244</v>
      </c>
      <c r="I12" s="75">
        <v>3761.1541014731092</v>
      </c>
      <c r="J12" s="76" t="s">
        <v>20</v>
      </c>
      <c r="K12" s="32">
        <v>4243.2000000000007</v>
      </c>
      <c r="L12" s="31">
        <v>43498.282799062225</v>
      </c>
      <c r="M12" s="31">
        <v>184571913.57298085</v>
      </c>
      <c r="N12" s="31">
        <v>28684944.73044984</v>
      </c>
      <c r="O12" s="31">
        <v>213256858.30343068</v>
      </c>
      <c r="P12" s="31" t="s">
        <v>20</v>
      </c>
      <c r="Q12" s="6"/>
      <c r="R12" s="130"/>
      <c r="S12" s="132"/>
    </row>
    <row r="13" spans="1:22" ht="14.25">
      <c r="A13" s="33" t="s">
        <v>21</v>
      </c>
      <c r="B13" s="31">
        <v>131224.31799000001</v>
      </c>
      <c r="C13" s="31">
        <v>134010.2378</v>
      </c>
      <c r="D13" s="31">
        <v>472356772.92097008</v>
      </c>
      <c r="E13" s="31">
        <v>81288655.141740009</v>
      </c>
      <c r="F13" s="31">
        <v>49288220</v>
      </c>
      <c r="G13" s="31">
        <v>29997121.050000001</v>
      </c>
      <c r="H13" s="32">
        <f t="shared" si="0"/>
        <v>293.7317704698591</v>
      </c>
      <c r="I13" s="75">
        <v>3524.7812456383094</v>
      </c>
      <c r="J13" s="76" t="s">
        <v>21</v>
      </c>
      <c r="K13" s="135">
        <v>3174</v>
      </c>
      <c r="L13" s="31">
        <v>136855.30327222656</v>
      </c>
      <c r="M13" s="31">
        <v>434378732.58604711</v>
      </c>
      <c r="N13" s="31">
        <v>74752951.621170059</v>
      </c>
      <c r="O13" s="31">
        <v>509131684.20721716</v>
      </c>
      <c r="P13" s="31" t="s">
        <v>21</v>
      </c>
      <c r="Q13" s="6"/>
      <c r="R13" s="131"/>
      <c r="S13" s="132"/>
    </row>
    <row r="14" spans="1:22" ht="14.25">
      <c r="A14" s="33" t="s">
        <v>22</v>
      </c>
      <c r="B14" s="31">
        <v>334141.38551000005</v>
      </c>
      <c r="C14" s="31">
        <v>345691.45117999997</v>
      </c>
      <c r="D14" s="31">
        <v>1387528637.7419901</v>
      </c>
      <c r="E14" s="31">
        <v>208567703.01186001</v>
      </c>
      <c r="F14" s="31">
        <v>124724482</v>
      </c>
      <c r="G14" s="31">
        <v>98177800</v>
      </c>
      <c r="H14" s="32">
        <f t="shared" si="0"/>
        <v>334.48147497952596</v>
      </c>
      <c r="I14" s="75">
        <v>4013.7776997543115</v>
      </c>
      <c r="J14" s="76" t="s">
        <v>22</v>
      </c>
      <c r="K14" s="32">
        <v>4417.2000000000007</v>
      </c>
      <c r="L14" s="31">
        <v>357640.76107045973</v>
      </c>
      <c r="M14" s="31">
        <v>1579770769.8004351</v>
      </c>
      <c r="N14" s="31">
        <v>237464764.17146417</v>
      </c>
      <c r="O14" s="31">
        <v>1817235533.9718993</v>
      </c>
      <c r="P14" s="31" t="s">
        <v>22</v>
      </c>
      <c r="Q14" s="6"/>
      <c r="R14" s="130"/>
      <c r="S14" s="132"/>
    </row>
    <row r="15" spans="1:22" ht="14.25">
      <c r="A15" s="33" t="s">
        <v>23</v>
      </c>
      <c r="B15" s="31">
        <v>284177.68081000005</v>
      </c>
      <c r="C15" s="31">
        <v>291244.51620000007</v>
      </c>
      <c r="D15" s="31">
        <v>1250641131.6167102</v>
      </c>
      <c r="E15" s="31">
        <v>180270418.59573999</v>
      </c>
      <c r="F15" s="31">
        <v>105954455</v>
      </c>
      <c r="G15" s="31">
        <v>74031492</v>
      </c>
      <c r="H15" s="32">
        <f t="shared" si="0"/>
        <v>357.84397131729582</v>
      </c>
      <c r="I15" s="75">
        <v>4294.1276558075497</v>
      </c>
      <c r="J15" s="76" t="s">
        <v>23</v>
      </c>
      <c r="K15" s="32">
        <v>4722</v>
      </c>
      <c r="L15" s="31">
        <v>298487.08728566417</v>
      </c>
      <c r="M15" s="31">
        <v>1409456026.1629062</v>
      </c>
      <c r="N15" s="31">
        <v>203162379.20323369</v>
      </c>
      <c r="O15" s="31">
        <v>1612618405.3661399</v>
      </c>
      <c r="P15" s="31" t="s">
        <v>23</v>
      </c>
      <c r="Q15" s="6"/>
      <c r="R15" s="130"/>
      <c r="S15" s="132"/>
    </row>
    <row r="16" spans="1:22" ht="14.25">
      <c r="A16" s="33" t="s">
        <v>24</v>
      </c>
      <c r="B16" s="31">
        <v>193434.69354000001</v>
      </c>
      <c r="C16" s="31">
        <v>197596.24051999999</v>
      </c>
      <c r="D16" s="31">
        <v>1065256545.5206399</v>
      </c>
      <c r="E16" s="31">
        <v>135816025.07222998</v>
      </c>
      <c r="F16" s="31">
        <v>83977389</v>
      </c>
      <c r="G16" s="31">
        <v>123665019</v>
      </c>
      <c r="H16" s="32">
        <f t="shared" si="0"/>
        <v>449.25641580919415</v>
      </c>
      <c r="I16" s="75">
        <v>5391.0769897103301</v>
      </c>
      <c r="J16" s="76" t="s">
        <v>24</v>
      </c>
      <c r="K16" s="32">
        <v>5641.2000000000007</v>
      </c>
      <c r="L16" s="31">
        <v>201847.31887076813</v>
      </c>
      <c r="M16" s="31">
        <v>1138661095.2137773</v>
      </c>
      <c r="N16" s="31">
        <v>145174816.81442606</v>
      </c>
      <c r="O16" s="31">
        <v>1283835912.0282035</v>
      </c>
      <c r="P16" s="31" t="s">
        <v>24</v>
      </c>
      <c r="Q16" s="6"/>
      <c r="R16" s="130"/>
      <c r="S16" s="132"/>
    </row>
    <row r="17" spans="1:19" ht="14.25">
      <c r="A17" s="33" t="s">
        <v>25</v>
      </c>
      <c r="B17" s="31">
        <v>294660.77268000005</v>
      </c>
      <c r="C17" s="31">
        <v>300431.29992000002</v>
      </c>
      <c r="D17" s="31">
        <v>1461371799.8763099</v>
      </c>
      <c r="E17" s="31">
        <v>207833750.13775998</v>
      </c>
      <c r="F17" s="31">
        <v>115370066</v>
      </c>
      <c r="G17" s="31">
        <v>80341856.716600001</v>
      </c>
      <c r="H17" s="32">
        <f t="shared" si="0"/>
        <v>405.35384747013421</v>
      </c>
      <c r="I17" s="75">
        <v>4864.2461696416103</v>
      </c>
      <c r="J17" s="76" t="s">
        <v>25</v>
      </c>
      <c r="K17" s="32">
        <v>5322</v>
      </c>
      <c r="L17" s="31">
        <v>306314.83502434759</v>
      </c>
      <c r="M17" s="31">
        <v>1630207551.9995778</v>
      </c>
      <c r="N17" s="31">
        <v>231845276.51597399</v>
      </c>
      <c r="O17" s="31">
        <v>1862052828.5155518</v>
      </c>
      <c r="P17" s="31" t="s">
        <v>25</v>
      </c>
      <c r="Q17" s="6"/>
      <c r="R17" s="130"/>
      <c r="S17" s="132"/>
    </row>
    <row r="18" spans="1:19" ht="14.25">
      <c r="A18" s="33" t="s">
        <v>26</v>
      </c>
      <c r="B18" s="31">
        <v>84850.910059999995</v>
      </c>
      <c r="C18" s="31">
        <v>88182.216149999993</v>
      </c>
      <c r="D18" s="31">
        <v>369798053.60767001</v>
      </c>
      <c r="E18" s="31">
        <v>53620080.358239993</v>
      </c>
      <c r="F18" s="31">
        <v>33340443</v>
      </c>
      <c r="G18" s="31">
        <v>37054556</v>
      </c>
      <c r="H18" s="32">
        <f t="shared" si="0"/>
        <v>349.46393743253452</v>
      </c>
      <c r="I18" s="75">
        <v>4193.5672491904143</v>
      </c>
      <c r="J18" s="76" t="s">
        <v>26</v>
      </c>
      <c r="K18" s="32">
        <v>4524</v>
      </c>
      <c r="L18" s="31">
        <v>91644.31164764952</v>
      </c>
      <c r="M18" s="31">
        <v>414598865.89396644</v>
      </c>
      <c r="N18" s="31">
        <v>60116120.917323716</v>
      </c>
      <c r="O18" s="31">
        <v>474714986.81129014</v>
      </c>
      <c r="P18" s="31" t="s">
        <v>26</v>
      </c>
      <c r="Q18" s="6"/>
      <c r="R18" s="130"/>
      <c r="S18" s="132"/>
    </row>
    <row r="19" spans="1:19" ht="14.25">
      <c r="A19" s="33" t="s">
        <v>27</v>
      </c>
      <c r="B19" s="31">
        <v>57398.169219999996</v>
      </c>
      <c r="C19" s="31">
        <v>57165.55257</v>
      </c>
      <c r="D19" s="31">
        <v>212671839.33985999</v>
      </c>
      <c r="E19" s="31">
        <v>32747632.78926</v>
      </c>
      <c r="F19" s="31">
        <v>20916919</v>
      </c>
      <c r="G19" s="31">
        <v>16283066</v>
      </c>
      <c r="H19" s="32">
        <f t="shared" si="0"/>
        <v>310.02330042415025</v>
      </c>
      <c r="I19" s="75">
        <v>3720.2796050898032</v>
      </c>
      <c r="J19" s="76" t="s">
        <v>27</v>
      </c>
      <c r="K19" s="32">
        <v>4094.3999999999996</v>
      </c>
      <c r="L19" s="31">
        <v>56933.878641807903</v>
      </c>
      <c r="M19" s="31">
        <v>233110072.71101826</v>
      </c>
      <c r="N19" s="31">
        <v>35894752.611881696</v>
      </c>
      <c r="O19" s="31">
        <v>269004825.32289994</v>
      </c>
      <c r="P19" s="31" t="s">
        <v>27</v>
      </c>
      <c r="Q19" s="6"/>
      <c r="R19" s="130"/>
      <c r="S19" s="132"/>
    </row>
    <row r="20" spans="1:19" ht="14.25">
      <c r="A20" s="33" t="s">
        <v>28</v>
      </c>
      <c r="B20" s="31">
        <v>16693.447550000001</v>
      </c>
      <c r="C20" s="31">
        <v>16801.29711</v>
      </c>
      <c r="D20" s="31">
        <v>49278658.632600002</v>
      </c>
      <c r="E20" s="31">
        <v>9034305.5907600001</v>
      </c>
      <c r="F20" s="31">
        <v>6158059</v>
      </c>
      <c r="G20" s="31">
        <v>1393299</v>
      </c>
      <c r="H20" s="32">
        <f t="shared" si="0"/>
        <v>244.41891951341131</v>
      </c>
      <c r="I20" s="75">
        <v>2933.0270341609357</v>
      </c>
      <c r="J20" s="76" t="s">
        <v>28</v>
      </c>
      <c r="K20" s="32">
        <v>3248.3999999999996</v>
      </c>
      <c r="L20" s="31">
        <v>16909.843442045276</v>
      </c>
      <c r="M20" s="31">
        <v>54929935.437139869</v>
      </c>
      <c r="N20" s="31">
        <v>10070359.798542585</v>
      </c>
      <c r="O20" s="31">
        <v>65000295.235682458</v>
      </c>
      <c r="P20" s="31" t="s">
        <v>28</v>
      </c>
      <c r="Q20" s="6"/>
      <c r="R20" s="130"/>
      <c r="S20" s="132"/>
    </row>
    <row r="21" spans="1:19" ht="14.25">
      <c r="A21" s="33" t="s">
        <v>29</v>
      </c>
      <c r="B21" s="31">
        <v>524571.77873999998</v>
      </c>
      <c r="C21" s="31">
        <v>539793.88283999998</v>
      </c>
      <c r="D21" s="31">
        <v>2042783409.1539805</v>
      </c>
      <c r="E21" s="31">
        <v>312186567.04173005</v>
      </c>
      <c r="F21" s="31">
        <v>196657913</v>
      </c>
      <c r="G21" s="31">
        <v>116732047</v>
      </c>
      <c r="H21" s="32">
        <f t="shared" si="0"/>
        <v>315.36472749041894</v>
      </c>
      <c r="I21" s="75">
        <v>3784.3767298850271</v>
      </c>
      <c r="J21" s="76" t="s">
        <v>29</v>
      </c>
      <c r="K21" s="32">
        <v>4090.7999999999997</v>
      </c>
      <c r="L21" s="31">
        <v>555457.70428474119</v>
      </c>
      <c r="M21" s="31">
        <v>2272266376.6880193</v>
      </c>
      <c r="N21" s="31">
        <v>347257098.50775111</v>
      </c>
      <c r="O21" s="31">
        <v>2619523475.1957703</v>
      </c>
      <c r="P21" s="31" t="s">
        <v>29</v>
      </c>
      <c r="Q21" s="6"/>
      <c r="R21" s="130"/>
      <c r="S21" s="132"/>
    </row>
    <row r="22" spans="1:19" ht="14.25">
      <c r="A22" s="33" t="s">
        <v>30</v>
      </c>
      <c r="B22" s="31">
        <v>206471.09351000001</v>
      </c>
      <c r="C22" s="31">
        <v>210167.48590999999</v>
      </c>
      <c r="D22" s="31">
        <v>788410715.27932012</v>
      </c>
      <c r="E22" s="31">
        <v>121845970.38066998</v>
      </c>
      <c r="F22" s="31">
        <v>75778045</v>
      </c>
      <c r="G22" s="31">
        <v>54725893</v>
      </c>
      <c r="H22" s="32">
        <f t="shared" si="0"/>
        <v>312.61207058487838</v>
      </c>
      <c r="I22" s="75">
        <v>3751.3448470185403</v>
      </c>
      <c r="J22" s="76" t="s">
        <v>30</v>
      </c>
      <c r="K22" s="32">
        <v>4170</v>
      </c>
      <c r="L22" s="31">
        <v>213930.05375636634</v>
      </c>
      <c r="M22" s="31">
        <v>892088324.1640476</v>
      </c>
      <c r="N22" s="31">
        <v>137868962.7328625</v>
      </c>
      <c r="O22" s="31">
        <v>1029957286.8969101</v>
      </c>
      <c r="P22" s="31" t="s">
        <v>30</v>
      </c>
      <c r="Q22" s="6"/>
      <c r="R22" s="130"/>
      <c r="S22" s="132"/>
    </row>
    <row r="23" spans="1:19" ht="14.25">
      <c r="A23" s="33" t="s">
        <v>31</v>
      </c>
      <c r="B23" s="31">
        <v>713982.72950000013</v>
      </c>
      <c r="C23" s="31">
        <v>737466.39451000001</v>
      </c>
      <c r="D23" s="31">
        <v>2911651737.28755</v>
      </c>
      <c r="E23" s="31">
        <v>449732981.26935005</v>
      </c>
      <c r="F23" s="31">
        <v>269587346</v>
      </c>
      <c r="G23" s="31">
        <v>119223734.59999999</v>
      </c>
      <c r="H23" s="32">
        <f t="shared" si="0"/>
        <v>329.01518846181449</v>
      </c>
      <c r="I23" s="75">
        <v>3948.1822615417741</v>
      </c>
      <c r="J23" s="76" t="s">
        <v>31</v>
      </c>
      <c r="K23" s="32">
        <v>4435.2000000000007</v>
      </c>
      <c r="L23" s="31">
        <v>761722.46268819424</v>
      </c>
      <c r="M23" s="31">
        <v>3378391466.5146794</v>
      </c>
      <c r="N23" s="31">
        <v>521825480.24991608</v>
      </c>
      <c r="O23" s="31">
        <v>3900216946.7645955</v>
      </c>
      <c r="P23" s="31" t="s">
        <v>31</v>
      </c>
      <c r="Q23" s="6"/>
      <c r="R23" s="130"/>
      <c r="S23" s="132"/>
    </row>
    <row r="24" spans="1:19" ht="14.25">
      <c r="A24" s="33" t="s">
        <v>32</v>
      </c>
      <c r="B24" s="31">
        <v>289596.21818000003</v>
      </c>
      <c r="C24" s="31">
        <v>298904.90071000007</v>
      </c>
      <c r="D24" s="31">
        <v>1148414271.8299301</v>
      </c>
      <c r="E24" s="31">
        <v>172877802.48334</v>
      </c>
      <c r="F24" s="31">
        <v>109598978</v>
      </c>
      <c r="G24" s="31">
        <v>60077036</v>
      </c>
      <c r="H24" s="32">
        <f t="shared" si="0"/>
        <v>320.17270072132709</v>
      </c>
      <c r="I24" s="75">
        <v>3842.0724086559248</v>
      </c>
      <c r="J24" s="76" t="s">
        <v>32</v>
      </c>
      <c r="K24" s="32">
        <v>4182</v>
      </c>
      <c r="L24" s="31">
        <v>308512.79837129189</v>
      </c>
      <c r="M24" s="31">
        <v>1290200522.7887428</v>
      </c>
      <c r="N24" s="31">
        <v>194221751.34340855</v>
      </c>
      <c r="O24" s="31">
        <v>1484422274.1321514</v>
      </c>
      <c r="P24" s="31" t="s">
        <v>32</v>
      </c>
      <c r="Q24" s="6"/>
      <c r="R24" s="130"/>
      <c r="S24" s="132"/>
    </row>
    <row r="25" spans="1:19" ht="14.25">
      <c r="A25" s="33" t="s">
        <v>33</v>
      </c>
      <c r="B25" s="31">
        <v>353240.91771000001</v>
      </c>
      <c r="C25" s="31">
        <v>356556.89165000012</v>
      </c>
      <c r="D25" s="31">
        <v>1826973921.56703</v>
      </c>
      <c r="E25" s="31">
        <v>254897859.39804003</v>
      </c>
      <c r="F25" s="31">
        <v>132557366</v>
      </c>
      <c r="G25" s="31">
        <v>257196255.40000001</v>
      </c>
      <c r="H25" s="32">
        <f t="shared" si="0"/>
        <v>426.99448632926868</v>
      </c>
      <c r="I25" s="75">
        <v>5123.933835951224</v>
      </c>
      <c r="J25" s="76" t="s">
        <v>33</v>
      </c>
      <c r="K25" s="32">
        <v>6018</v>
      </c>
      <c r="L25" s="31">
        <v>359903.99358967267</v>
      </c>
      <c r="M25" s="31">
        <v>2165902233.4226503</v>
      </c>
      <c r="N25" s="31">
        <v>302184851.38054675</v>
      </c>
      <c r="O25" s="31">
        <v>2468087084.8031969</v>
      </c>
      <c r="P25" s="31" t="s">
        <v>33</v>
      </c>
      <c r="Q25" s="6"/>
      <c r="R25" s="130"/>
      <c r="S25" s="132"/>
    </row>
    <row r="26" spans="1:19" ht="14.25">
      <c r="A26" s="33" t="s">
        <v>34</v>
      </c>
      <c r="B26" s="31">
        <v>817628.61034999997</v>
      </c>
      <c r="C26" s="31">
        <v>838861.99852999998</v>
      </c>
      <c r="D26" s="31">
        <v>3994583802.1852999</v>
      </c>
      <c r="E26" s="31">
        <v>565890724.96036005</v>
      </c>
      <c r="F26" s="31">
        <v>313538202</v>
      </c>
      <c r="G26" s="31">
        <v>588575014.60000002</v>
      </c>
      <c r="H26" s="32">
        <f t="shared" si="0"/>
        <v>396.82568062300521</v>
      </c>
      <c r="I26" s="75">
        <v>4761.9081674760628</v>
      </c>
      <c r="J26" s="76" t="s">
        <v>34</v>
      </c>
      <c r="K26" s="32">
        <v>5298</v>
      </c>
      <c r="L26" s="31">
        <v>860646.8067164619</v>
      </c>
      <c r="M26" s="31">
        <v>4559706781.9838152</v>
      </c>
      <c r="N26" s="31">
        <v>645948590.4518764</v>
      </c>
      <c r="O26" s="31">
        <v>5205655372.4356918</v>
      </c>
      <c r="P26" s="31" t="s">
        <v>34</v>
      </c>
      <c r="Q26" s="6"/>
      <c r="R26" s="130"/>
      <c r="S26" s="132"/>
    </row>
    <row r="27" spans="1:19" ht="14.25">
      <c r="A27" s="33" t="s">
        <v>35</v>
      </c>
      <c r="B27" s="31">
        <v>362974.72749999998</v>
      </c>
      <c r="C27" s="31">
        <v>376122.41467999999</v>
      </c>
      <c r="D27" s="31">
        <v>1493343132.89815</v>
      </c>
      <c r="E27" s="31">
        <v>225715723.96814999</v>
      </c>
      <c r="F27" s="31">
        <v>133402542</v>
      </c>
      <c r="G27" s="31">
        <v>96434623.25</v>
      </c>
      <c r="H27" s="32">
        <f t="shared" si="0"/>
        <v>330.86371941093228</v>
      </c>
      <c r="I27" s="75">
        <v>3970.3646329311873</v>
      </c>
      <c r="J27" s="76" t="s">
        <v>35</v>
      </c>
      <c r="K27" s="32">
        <v>4471.2000000000007</v>
      </c>
      <c r="L27" s="31">
        <v>389746.33798633784</v>
      </c>
      <c r="M27" s="31">
        <v>1742633826.4045141</v>
      </c>
      <c r="N27" s="31">
        <v>263395496.36855572</v>
      </c>
      <c r="O27" s="31">
        <v>2006029322.7730699</v>
      </c>
      <c r="P27" s="31" t="s">
        <v>35</v>
      </c>
      <c r="Q27" s="6"/>
      <c r="R27" s="130"/>
      <c r="S27" s="132"/>
    </row>
    <row r="28" spans="1:19" ht="14.25">
      <c r="A28" s="30" t="s">
        <v>36</v>
      </c>
      <c r="B28" s="31">
        <v>178306.31876999998</v>
      </c>
      <c r="C28" s="31">
        <v>180222.33141000001</v>
      </c>
      <c r="D28" s="31">
        <v>888992762.69344008</v>
      </c>
      <c r="E28" s="31">
        <v>116863980.04388</v>
      </c>
      <c r="F28" s="31">
        <v>66611504</v>
      </c>
      <c r="G28" s="31">
        <v>80832711</v>
      </c>
      <c r="H28" s="32">
        <f t="shared" si="0"/>
        <v>411.06298894734368</v>
      </c>
      <c r="I28" s="75">
        <v>4932.7558673681242</v>
      </c>
      <c r="J28" s="76" t="s">
        <v>36</v>
      </c>
      <c r="K28" s="32">
        <v>5356.7999999999993</v>
      </c>
      <c r="L28" s="31">
        <v>182158.93280121181</v>
      </c>
      <c r="M28" s="31">
        <v>975788971.22953129</v>
      </c>
      <c r="N28" s="31">
        <v>128273915.88128123</v>
      </c>
      <c r="O28" s="31">
        <v>1104062887.1108124</v>
      </c>
      <c r="P28" s="31" t="s">
        <v>36</v>
      </c>
      <c r="Q28" s="6"/>
      <c r="R28" s="130"/>
      <c r="S28" s="132"/>
    </row>
    <row r="29" spans="1:19" ht="14.25">
      <c r="A29" s="30" t="s">
        <v>37</v>
      </c>
      <c r="B29" s="31">
        <v>473353.34411999997</v>
      </c>
      <c r="C29" s="31">
        <v>486927.08900000004</v>
      </c>
      <c r="D29" s="31">
        <v>2612369045.4568896</v>
      </c>
      <c r="E29" s="31">
        <v>336725515.88427997</v>
      </c>
      <c r="F29" s="31">
        <v>208458396</v>
      </c>
      <c r="G29" s="31">
        <v>447770483.20999998</v>
      </c>
      <c r="H29" s="32">
        <f t="shared" si="0"/>
        <v>447.08422548810131</v>
      </c>
      <c r="I29" s="75">
        <v>5365.0107058572157</v>
      </c>
      <c r="J29" s="76" t="s">
        <v>37</v>
      </c>
      <c r="K29" s="32">
        <v>5877.6</v>
      </c>
      <c r="L29" s="31">
        <v>500890.07069929386</v>
      </c>
      <c r="M29" s="31">
        <v>2944031479.5421696</v>
      </c>
      <c r="N29" s="31">
        <v>379475679.53784972</v>
      </c>
      <c r="O29" s="31">
        <v>3323507159.0800195</v>
      </c>
      <c r="P29" s="31" t="s">
        <v>37</v>
      </c>
      <c r="Q29" s="6"/>
      <c r="S29" s="132"/>
    </row>
    <row r="30" spans="1:19" ht="14.25">
      <c r="A30" s="30" t="s">
        <v>38</v>
      </c>
      <c r="B30" s="31">
        <v>74320.928520000001</v>
      </c>
      <c r="C30" s="31">
        <v>74987.20842000001</v>
      </c>
      <c r="D30" s="31">
        <v>345039479.76576</v>
      </c>
      <c r="E30" s="31">
        <v>48898934.300570004</v>
      </c>
      <c r="F30" s="31">
        <v>28118879</v>
      </c>
      <c r="G30" s="31">
        <v>30212960</v>
      </c>
      <c r="H30" s="32">
        <f t="shared" si="0"/>
        <v>383.4425975618949</v>
      </c>
      <c r="I30" s="75">
        <v>4601.3111707427388</v>
      </c>
      <c r="J30" s="76" t="s">
        <v>38</v>
      </c>
      <c r="K30" s="32">
        <v>5244</v>
      </c>
      <c r="L30" s="31">
        <v>75659.461454539429</v>
      </c>
      <c r="M30" s="31">
        <v>396758215.86760479</v>
      </c>
      <c r="N30" s="31">
        <v>56228504.471697971</v>
      </c>
      <c r="O30" s="31">
        <v>452986720.33930278</v>
      </c>
      <c r="P30" s="31" t="s">
        <v>38</v>
      </c>
      <c r="Q30" s="6"/>
      <c r="S30" s="132"/>
    </row>
    <row r="31" spans="1:19" ht="14.25">
      <c r="A31" s="30" t="s">
        <v>42</v>
      </c>
      <c r="B31" s="31">
        <v>20413.465959999998</v>
      </c>
      <c r="C31" s="31">
        <v>23337.064749999998</v>
      </c>
      <c r="D31" s="31">
        <v>19381556.661589999</v>
      </c>
      <c r="E31" s="31">
        <v>1870890.0602100003</v>
      </c>
      <c r="F31" s="31">
        <v>0</v>
      </c>
      <c r="G31" s="31">
        <v>0</v>
      </c>
      <c r="H31" s="32">
        <f t="shared" si="0"/>
        <v>69.208777500570918</v>
      </c>
      <c r="I31" s="75">
        <v>830.50533000685107</v>
      </c>
      <c r="J31" s="76" t="s">
        <v>42</v>
      </c>
      <c r="K31" s="32">
        <v>692</v>
      </c>
      <c r="L31" s="31">
        <v>26679.378808717131</v>
      </c>
      <c r="M31" s="31">
        <v>18462130.135632254</v>
      </c>
      <c r="N31" s="31">
        <v>1782138.3681482007</v>
      </c>
      <c r="O31" s="31">
        <v>20244268.503780454</v>
      </c>
      <c r="P31" s="31" t="s">
        <v>42</v>
      </c>
      <c r="Q31" s="6"/>
      <c r="S31" s="132"/>
    </row>
    <row r="32" spans="1:19" ht="14.25">
      <c r="A32" s="34" t="s">
        <v>1</v>
      </c>
      <c r="B32" s="35">
        <v>8785267.8393699992</v>
      </c>
      <c r="C32" s="35">
        <v>9005997.7774700001</v>
      </c>
      <c r="D32" s="35">
        <v>38529036877.840797</v>
      </c>
      <c r="E32" s="35">
        <v>5661559308.87498</v>
      </c>
      <c r="F32" s="35">
        <f>+SUM(F5:F31)</f>
        <v>3342835398</v>
      </c>
      <c r="G32" s="35">
        <v>3267057882.2266002</v>
      </c>
      <c r="H32" s="128">
        <f t="shared" si="0"/>
        <v>356.51275433394591</v>
      </c>
      <c r="I32" s="77">
        <v>4278.1530520073511</v>
      </c>
      <c r="J32" s="78" t="s">
        <v>1</v>
      </c>
      <c r="K32" s="136">
        <v>4719.6000000000004</v>
      </c>
      <c r="L32" s="35">
        <v>9233040.3326210845</v>
      </c>
      <c r="M32" s="35">
        <v>43508655131.969612</v>
      </c>
      <c r="N32" s="35">
        <v>6393037556.5488777</v>
      </c>
      <c r="O32" s="35">
        <v>49901692688.518501</v>
      </c>
      <c r="P32" s="35" t="s">
        <v>1</v>
      </c>
      <c r="Q32" s="6"/>
      <c r="S32" s="132"/>
    </row>
    <row r="33" spans="4:13">
      <c r="D33" s="7"/>
      <c r="E33" s="7"/>
      <c r="F33" s="7"/>
      <c r="G33" s="7"/>
      <c r="H33" s="7"/>
      <c r="I33" s="7"/>
      <c r="J33" s="4"/>
      <c r="M33" s="7"/>
    </row>
    <row r="34" spans="4:13" ht="15">
      <c r="D34" s="7"/>
      <c r="E34" s="7"/>
      <c r="F34"/>
      <c r="G34" s="8"/>
      <c r="H34" s="7"/>
      <c r="I34" s="7"/>
      <c r="J34" s="4"/>
      <c r="K34" s="3"/>
      <c r="L34" s="3"/>
      <c r="M34" s="7"/>
    </row>
    <row r="35" spans="4:13" ht="15">
      <c r="D35" s="7"/>
      <c r="E35" s="7"/>
      <c r="F35"/>
      <c r="G35" s="8"/>
      <c r="H35" s="7"/>
      <c r="I35" s="7"/>
      <c r="J35" s="4"/>
      <c r="M35" s="7"/>
    </row>
    <row r="36" spans="4:13" ht="15">
      <c r="F36"/>
      <c r="G36" s="8"/>
      <c r="J36" s="4"/>
    </row>
    <row r="37" spans="4:13" ht="15">
      <c r="F37"/>
      <c r="G37" s="8"/>
      <c r="J37" s="4"/>
    </row>
    <row r="38" spans="4:13" ht="15">
      <c r="E38" s="3"/>
      <c r="F38"/>
      <c r="G38" s="8"/>
      <c r="J38" s="4"/>
    </row>
    <row r="39" spans="4:13" ht="15">
      <c r="F39"/>
      <c r="G39" s="8"/>
      <c r="J39" s="4"/>
    </row>
    <row r="40" spans="4:13" ht="15">
      <c r="F40"/>
      <c r="G40" s="8"/>
      <c r="J40" s="4"/>
    </row>
    <row r="41" spans="4:13" ht="15">
      <c r="F41"/>
      <c r="G41" s="8"/>
      <c r="J41" s="4"/>
    </row>
    <row r="42" spans="4:13" ht="15">
      <c r="F42"/>
      <c r="G42" s="8"/>
      <c r="J42" s="4"/>
    </row>
    <row r="43" spans="4:13" ht="15">
      <c r="F43"/>
      <c r="G43" s="8"/>
      <c r="J43" s="4"/>
    </row>
    <row r="44" spans="4:13" ht="15">
      <c r="F44"/>
      <c r="G44" s="8"/>
      <c r="J44" s="4"/>
    </row>
    <row r="45" spans="4:13" ht="15">
      <c r="F45"/>
      <c r="G45" s="8"/>
      <c r="J45" s="4"/>
    </row>
    <row r="46" spans="4:13" ht="15">
      <c r="F46"/>
      <c r="G46" s="8"/>
      <c r="J46" s="4"/>
    </row>
    <row r="47" spans="4:13" ht="15">
      <c r="F47"/>
      <c r="G47" s="8"/>
      <c r="J47" s="4"/>
    </row>
    <row r="48" spans="4:13" ht="15">
      <c r="F48"/>
      <c r="G48" s="8"/>
      <c r="J48" s="4"/>
    </row>
    <row r="49" spans="6:10" ht="15">
      <c r="F49"/>
      <c r="G49" s="8"/>
      <c r="J49" s="4"/>
    </row>
    <row r="50" spans="6:10" ht="15">
      <c r="F50"/>
      <c r="G50" s="8"/>
      <c r="J50" s="4"/>
    </row>
    <row r="51" spans="6:10" ht="15">
      <c r="F51"/>
      <c r="G51" s="8"/>
      <c r="J51" s="4"/>
    </row>
    <row r="52" spans="6:10" ht="15">
      <c r="F52"/>
      <c r="G52" s="8"/>
      <c r="J52" s="4"/>
    </row>
    <row r="53" spans="6:10" ht="15">
      <c r="F53"/>
      <c r="G53" s="8"/>
      <c r="J53" s="4"/>
    </row>
    <row r="54" spans="6:10" ht="15">
      <c r="F54"/>
      <c r="G54" s="8"/>
      <c r="J54" s="4"/>
    </row>
    <row r="55" spans="6:10" ht="15">
      <c r="F55"/>
      <c r="G55" s="8"/>
      <c r="J55" s="4"/>
    </row>
    <row r="56" spans="6:10" ht="15">
      <c r="F56"/>
      <c r="G56" s="8"/>
    </row>
    <row r="57" spans="6:10" ht="15">
      <c r="F57"/>
      <c r="G57" s="8"/>
    </row>
    <row r="58" spans="6:10" ht="15">
      <c r="F58"/>
      <c r="G58" s="8"/>
    </row>
    <row r="59" spans="6:10" ht="15">
      <c r="F59"/>
      <c r="G59" s="8"/>
    </row>
  </sheetData>
  <sheetProtection sheet="1" objects="1" scenarios="1"/>
  <mergeCells count="8">
    <mergeCell ref="M3:M4"/>
    <mergeCell ref="N3:N4"/>
    <mergeCell ref="O3:O4"/>
    <mergeCell ref="L3:L4"/>
    <mergeCell ref="B3:B4"/>
    <mergeCell ref="C3:C4"/>
    <mergeCell ref="D3:D4"/>
    <mergeCell ref="E3:E4"/>
  </mergeCells>
  <pageMargins left="0.7" right="0.7" top="0.78740157499999996" bottom="0.78740157499999996" header="0.3" footer="0.3"/>
  <pageSetup orientation="portrait" horizontalDpi="200" verticalDpi="200" r:id="rId1"/>
  <ignoredErrors>
    <ignoredError sqref="K3"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9A0C6-765B-4502-B0C0-B09FAF263D53}">
  <sheetPr>
    <tabColor theme="5" tint="0.79998168889431442"/>
  </sheetPr>
  <dimension ref="A1:E29"/>
  <sheetViews>
    <sheetView showGridLines="0" workbookViewId="0">
      <selection activeCell="C37" sqref="C37"/>
    </sheetView>
  </sheetViews>
  <sheetFormatPr baseColWidth="10" defaultColWidth="10.85546875" defaultRowHeight="14.25"/>
  <cols>
    <col min="1" max="1" width="8.5703125" style="13" customWidth="1"/>
    <col min="2" max="5" width="34.28515625" style="13" customWidth="1"/>
    <col min="6" max="16384" width="10.85546875" style="13"/>
  </cols>
  <sheetData>
    <row r="1" spans="1:5">
      <c r="B1" s="79">
        <f>+Mindestbeiträge!B2-5</f>
        <v>2021</v>
      </c>
      <c r="C1" s="79">
        <f>+B1</f>
        <v>2021</v>
      </c>
      <c r="D1" s="79">
        <f>+B1</f>
        <v>2021</v>
      </c>
      <c r="E1" s="79">
        <f>+B1</f>
        <v>2021</v>
      </c>
    </row>
    <row r="2" spans="1:5" ht="59.45" customHeight="1">
      <c r="A2" s="17" t="str">
        <f>Übersetzung!B58</f>
        <v>Canton</v>
      </c>
      <c r="B2" s="17" t="str">
        <f>Übersetzung!B59</f>
        <v>Nombre de contribuables (AFC)</v>
      </c>
      <c r="C2" s="17" t="str">
        <f>Übersetzung!B60</f>
        <v>Primes à recevoir des contribuables (AFC)</v>
      </c>
      <c r="D2" s="17" t="str">
        <f>Übersetzung!B61</f>
        <v>Somme des revenus imposables des 40 % des contribuables aux revenus les plus faibles</v>
      </c>
      <c r="E2" s="17" t="str">
        <f>Übersetzung!B62</f>
        <v>Primes à recevoir des 40 % des contribuables aux revenus les plus faibles</v>
      </c>
    </row>
    <row r="3" spans="1:5">
      <c r="A3" s="18" t="s">
        <v>39</v>
      </c>
      <c r="B3" s="15">
        <v>1494540</v>
      </c>
      <c r="C3" s="16">
        <v>6254357257.1422911</v>
      </c>
      <c r="D3" s="15">
        <v>9058631400</v>
      </c>
      <c r="E3" s="16">
        <v>2426827638.0503674</v>
      </c>
    </row>
    <row r="4" spans="1:5">
      <c r="A4" s="18" t="s">
        <v>14</v>
      </c>
      <c r="B4" s="16">
        <v>1012822</v>
      </c>
      <c r="C4" s="16">
        <v>4503933607.5394258</v>
      </c>
      <c r="D4" s="16">
        <v>5265199400</v>
      </c>
      <c r="E4" s="16">
        <v>1725663592.3140593</v>
      </c>
    </row>
    <row r="5" spans="1:5">
      <c r="A5" s="18" t="s">
        <v>15</v>
      </c>
      <c r="B5" s="16">
        <v>398856</v>
      </c>
      <c r="C5" s="16">
        <v>1458935040.0407841</v>
      </c>
      <c r="D5" s="16">
        <v>2280950700</v>
      </c>
      <c r="E5" s="16">
        <v>552265341.58940494</v>
      </c>
    </row>
    <row r="6" spans="1:5">
      <c r="A6" s="18" t="s">
        <v>16</v>
      </c>
      <c r="B6" s="16">
        <v>35679</v>
      </c>
      <c r="C6" s="16">
        <v>118436196.00691195</v>
      </c>
      <c r="D6" s="16">
        <v>193400300</v>
      </c>
      <c r="E6" s="16">
        <v>44179472.918008462</v>
      </c>
    </row>
    <row r="7" spans="1:5">
      <c r="A7" s="18" t="s">
        <v>17</v>
      </c>
      <c r="B7" s="16">
        <v>163648</v>
      </c>
      <c r="C7" s="16">
        <v>611118394.12029064</v>
      </c>
      <c r="D7" s="16">
        <v>962990600</v>
      </c>
      <c r="E7" s="16">
        <v>236822568.36440039</v>
      </c>
    </row>
    <row r="8" spans="1:5">
      <c r="A8" s="18" t="s">
        <v>18</v>
      </c>
      <c r="B8" s="16">
        <v>37912</v>
      </c>
      <c r="C8" s="16">
        <v>133700137.35682559</v>
      </c>
      <c r="D8" s="16">
        <v>206630000</v>
      </c>
      <c r="E8" s="16">
        <v>51623091.013293266</v>
      </c>
    </row>
    <row r="9" spans="1:5">
      <c r="A9" s="18" t="s">
        <v>19</v>
      </c>
      <c r="B9" s="16">
        <v>41055</v>
      </c>
      <c r="C9" s="16">
        <v>146664141.61087152</v>
      </c>
      <c r="D9" s="16">
        <v>270342800</v>
      </c>
      <c r="E9" s="16">
        <v>55392791.0546977</v>
      </c>
    </row>
    <row r="10" spans="1:5">
      <c r="A10" s="18" t="s">
        <v>20</v>
      </c>
      <c r="B10" s="16">
        <v>38506</v>
      </c>
      <c r="C10" s="16">
        <v>146970035.403265</v>
      </c>
      <c r="D10" s="16">
        <v>209113000</v>
      </c>
      <c r="E10" s="16">
        <v>56062681.68899285</v>
      </c>
    </row>
    <row r="11" spans="1:5">
      <c r="A11" s="18" t="s">
        <v>21</v>
      </c>
      <c r="B11" s="16">
        <v>127562</v>
      </c>
      <c r="C11" s="16">
        <v>447730131.01522803</v>
      </c>
      <c r="D11" s="16">
        <v>953935600</v>
      </c>
      <c r="E11" s="16">
        <v>177296850.77633408</v>
      </c>
    </row>
    <row r="12" spans="1:5">
      <c r="A12" s="18" t="s">
        <v>22</v>
      </c>
      <c r="B12" s="16">
        <v>328138</v>
      </c>
      <c r="C12" s="16">
        <v>1305170760.8112183</v>
      </c>
      <c r="D12" s="16">
        <v>1734523500</v>
      </c>
      <c r="E12" s="16">
        <v>505920551.18662113</v>
      </c>
    </row>
    <row r="13" spans="1:5">
      <c r="A13" s="18" t="s">
        <v>23</v>
      </c>
      <c r="B13" s="16">
        <v>268815</v>
      </c>
      <c r="C13" s="16">
        <v>1181422996.4518178</v>
      </c>
      <c r="D13" s="16">
        <v>1580429000</v>
      </c>
      <c r="E13" s="16">
        <v>449244930.31158817</v>
      </c>
    </row>
    <row r="14" spans="1:5">
      <c r="A14" s="18" t="s">
        <v>24</v>
      </c>
      <c r="B14" s="16">
        <v>161664</v>
      </c>
      <c r="C14" s="16">
        <v>846882561.36686707</v>
      </c>
      <c r="D14" s="16">
        <v>814771400</v>
      </c>
      <c r="E14" s="16">
        <v>326430053.5969407</v>
      </c>
    </row>
    <row r="15" spans="1:5">
      <c r="A15" s="18" t="s">
        <v>25</v>
      </c>
      <c r="B15" s="16">
        <v>299207</v>
      </c>
      <c r="C15" s="16">
        <v>1444379714.7378693</v>
      </c>
      <c r="D15" s="16">
        <v>1751601100</v>
      </c>
      <c r="E15" s="16">
        <v>555082446.33192992</v>
      </c>
    </row>
    <row r="16" spans="1:5">
      <c r="A16" s="18" t="s">
        <v>26</v>
      </c>
      <c r="B16" s="16">
        <v>81671</v>
      </c>
      <c r="C16" s="16">
        <v>346409519.98584801</v>
      </c>
      <c r="D16" s="16">
        <v>449672900</v>
      </c>
      <c r="E16" s="16">
        <v>131557914.34278528</v>
      </c>
    </row>
    <row r="17" spans="1:5">
      <c r="A17" s="18" t="s">
        <v>27</v>
      </c>
      <c r="B17" s="16">
        <v>56877</v>
      </c>
      <c r="C17" s="16">
        <v>215915231.55071223</v>
      </c>
      <c r="D17" s="16">
        <v>275291600</v>
      </c>
      <c r="E17" s="16">
        <v>82187957.316772372</v>
      </c>
    </row>
    <row r="18" spans="1:5">
      <c r="A18" s="18" t="s">
        <v>28</v>
      </c>
      <c r="B18" s="16">
        <v>15829</v>
      </c>
      <c r="C18" s="16">
        <v>46951387.161682218</v>
      </c>
      <c r="D18" s="16">
        <v>86310300</v>
      </c>
      <c r="E18" s="16">
        <v>17608263.641219478</v>
      </c>
    </row>
    <row r="19" spans="1:5">
      <c r="A19" s="18" t="s">
        <v>29</v>
      </c>
      <c r="B19" s="16">
        <v>515925</v>
      </c>
      <c r="C19" s="16">
        <v>1972385840.8926866</v>
      </c>
      <c r="D19" s="16">
        <v>2665322100</v>
      </c>
      <c r="E19" s="16">
        <v>749332793.26428294</v>
      </c>
    </row>
    <row r="20" spans="1:5">
      <c r="A20" s="18" t="s">
        <v>30</v>
      </c>
      <c r="B20" s="16">
        <v>215682</v>
      </c>
      <c r="C20" s="16">
        <v>806917075.56097949</v>
      </c>
      <c r="D20" s="16">
        <v>824328200</v>
      </c>
      <c r="E20" s="16">
        <v>312725572.78841645</v>
      </c>
    </row>
    <row r="21" spans="1:5">
      <c r="A21" s="18" t="s">
        <v>31</v>
      </c>
      <c r="B21" s="16">
        <v>660529</v>
      </c>
      <c r="C21" s="16">
        <v>2629009268.9708276</v>
      </c>
      <c r="D21" s="16">
        <v>4120008000</v>
      </c>
      <c r="E21" s="16">
        <v>991878700.48606575</v>
      </c>
    </row>
    <row r="22" spans="1:5">
      <c r="A22" s="18" t="s">
        <v>32</v>
      </c>
      <c r="B22" s="16">
        <v>280292</v>
      </c>
      <c r="C22" s="16">
        <v>1084850906.50721</v>
      </c>
      <c r="D22" s="16">
        <v>1506817600</v>
      </c>
      <c r="E22" s="16">
        <v>414541882.58807129</v>
      </c>
    </row>
    <row r="23" spans="1:5">
      <c r="A23" s="18" t="s">
        <v>33</v>
      </c>
      <c r="B23" s="16">
        <v>349858</v>
      </c>
      <c r="C23" s="16">
        <v>1775915534.153255</v>
      </c>
      <c r="D23" s="16">
        <v>1618880100</v>
      </c>
      <c r="E23" s="16">
        <v>692471122.12818861</v>
      </c>
    </row>
    <row r="24" spans="1:5">
      <c r="A24" s="18" t="s">
        <v>34</v>
      </c>
      <c r="B24" s="16">
        <v>772814</v>
      </c>
      <c r="C24" s="16">
        <v>3620005761.8698483</v>
      </c>
      <c r="D24" s="16">
        <v>4048472900</v>
      </c>
      <c r="E24" s="16">
        <v>1412214783.7684767</v>
      </c>
    </row>
    <row r="25" spans="1:5">
      <c r="A25" s="18" t="s">
        <v>35</v>
      </c>
      <c r="B25" s="16">
        <v>364845</v>
      </c>
      <c r="C25" s="16">
        <v>1460198370.4560924</v>
      </c>
      <c r="D25" s="16">
        <v>1578645300</v>
      </c>
      <c r="E25" s="16">
        <v>575748917.69516015</v>
      </c>
    </row>
    <row r="26" spans="1:5">
      <c r="A26" s="18" t="s">
        <v>36</v>
      </c>
      <c r="B26" s="16">
        <v>178637</v>
      </c>
      <c r="C26" s="16">
        <v>873345086.37723684</v>
      </c>
      <c r="D26" s="16">
        <v>873167700</v>
      </c>
      <c r="E26" s="16">
        <v>340399963.62842798</v>
      </c>
    </row>
    <row r="27" spans="1:5">
      <c r="A27" s="18" t="s">
        <v>37</v>
      </c>
      <c r="B27" s="16">
        <v>481867</v>
      </c>
      <c r="C27" s="16">
        <v>2491513316.8107204</v>
      </c>
      <c r="D27" s="16">
        <v>2308924200</v>
      </c>
      <c r="E27" s="16">
        <v>980674444.24253929</v>
      </c>
    </row>
    <row r="28" spans="1:5">
      <c r="A28" s="18" t="s">
        <v>38</v>
      </c>
      <c r="B28" s="16">
        <v>73700</v>
      </c>
      <c r="C28" s="16">
        <v>343214459.31497782</v>
      </c>
      <c r="D28" s="16">
        <v>366780000</v>
      </c>
      <c r="E28" s="16">
        <v>135107338.08576313</v>
      </c>
    </row>
    <row r="29" spans="1:5">
      <c r="A29" s="19" t="s">
        <v>1</v>
      </c>
      <c r="B29" s="20">
        <f>SUM(B3:B28)</f>
        <v>8456930</v>
      </c>
      <c r="C29" s="20">
        <f t="shared" ref="C29:E29" si="0">SUM(C3:C28)</f>
        <v>36266332733.215744</v>
      </c>
      <c r="D29" s="20">
        <f t="shared" si="0"/>
        <v>46005139700</v>
      </c>
      <c r="E29" s="20">
        <f t="shared" si="0"/>
        <v>13999261663.172808</v>
      </c>
    </row>
  </sheetData>
  <sheetProtection sheet="1" objects="1" scenario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2</vt:i4>
      </vt:variant>
    </vt:vector>
  </HeadingPairs>
  <TitlesOfParts>
    <vt:vector size="12" baseType="lpstr">
      <vt:lpstr>Übersetzung</vt:lpstr>
      <vt:lpstr>Einleitung</vt:lpstr>
      <vt:lpstr>Aufteilung Bundesbeitrag </vt:lpstr>
      <vt:lpstr>Raten Bundesbeitrag</vt:lpstr>
      <vt:lpstr>Berechnung</vt:lpstr>
      <vt:lpstr>Mindestbeiträge</vt:lpstr>
      <vt:lpstr>Grundlagen für die Berechnung</vt:lpstr>
      <vt:lpstr>Statistikdaten</vt:lpstr>
      <vt:lpstr>Einkommensdaten</vt:lpstr>
      <vt:lpstr>Bundesbeitrag 2026 (def.)</vt:lpstr>
      <vt:lpstr>'Aufteilung Bundesbeitrag '!Druckbereich</vt:lpstr>
      <vt:lpstr>'Raten Bundesbeitrag'!Druckbereich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Nakova Zagorka BAG</dc:creator>
  <cp:lastModifiedBy>Nakova Zagorka BAG</cp:lastModifiedBy>
  <cp:lastPrinted>2025-09-18T11:40:55Z</cp:lastPrinted>
  <dcterms:created xsi:type="dcterms:W3CDTF">2025-03-27T08:34:35Z</dcterms:created>
  <dcterms:modified xsi:type="dcterms:W3CDTF">2025-09-23T12:15:17Z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2025-03-27T12:29:04Z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47ba954a-7e04-471e-a41b-780665741ad1</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